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externe\CCPA\Daten\Allgemeines\Statistik\CPMI-IOSCO Public Quantitative Disclosure\Archiv\2023\Stichtag 20231231\"/>
    </mc:Choice>
  </mc:AlternateContent>
  <xr:revisionPtr revIDLastSave="0" documentId="13_ncr:1_{9118B15E-2E10-4547-BED7-C234EF0643F1}" xr6:coauthVersionLast="47" xr6:coauthVersionMax="47" xr10:uidLastSave="{00000000-0000-0000-0000-000000000000}"/>
  <bookViews>
    <workbookView xWindow="28680" yWindow="-120" windowWidth="29040" windowHeight="15840" tabRatio="937" activeTab="4"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CCPA_AggregateDataFile!$A$1:$DU$4</definedName>
    <definedName name="_xlnm._FilterDatabase" localSheetId="3" hidden="1">CCPA_ConsolidatedDataFile!$A$1:$L$353</definedName>
    <definedName name="_xlnm._FilterDatabase" localSheetId="14" hidden="1">CCPA_DataFile_16_2!$A$1:$F$3</definedName>
    <definedName name="_xlnm._FilterDatabase" localSheetId="15" hidden="1">CCPA_DataFile_16_3!$A$1:$G$7</definedName>
    <definedName name="_xlnm._FilterDatabase" localSheetId="16" hidden="1">CCPA_DataFile_17_3!$A$1:$E$2</definedName>
    <definedName name="_xlnm._FilterDatabase" localSheetId="17" hidden="1">CCPA_DataFile_18_2!$A$1:$J$3</definedName>
    <definedName name="_xlnm._FilterDatabase" localSheetId="18" hidden="1">CCPA_DataFile_20a!$A$1:$R$2</definedName>
    <definedName name="_xlnm._FilterDatabase" localSheetId="19" hidden="1">CCPA_DataFile_20b!$A$1:$G$2</definedName>
    <definedName name="_xlnm._FilterDatabase" localSheetId="20" hidden="1">CCPA_DataFile_23!$A$1:$K$3</definedName>
    <definedName name="_xlnm._FilterDatabase" localSheetId="21" hidden="1">CCPA_DataFile_23_3!$A$1:$G$2</definedName>
    <definedName name="_xlnm._FilterDatabase" localSheetId="5" hidden="1">CCPA_DataFile_4_3!$A$1:$T$5</definedName>
    <definedName name="_xlnm._FilterDatabase" localSheetId="6" hidden="1">CCPA_DataFile_4_4a!$A$1:$I$3</definedName>
    <definedName name="_xlnm._FilterDatabase" localSheetId="7" hidden="1">CCPA_DataFile_4_4b!$A$1:$G$2</definedName>
    <definedName name="_xlnm._FilterDatabase" localSheetId="8" hidden="1">CCPA_DataFile_6_1!$A$1:$F$9</definedName>
    <definedName name="_xlnm._FilterDatabase" localSheetId="9" hidden="1">CCPA_DataFile_6_2!$A$1:$T$7</definedName>
    <definedName name="_xlnm._FilterDatabase" localSheetId="10" hidden="1">CCPA_DataFile_7_1!$A$1:$M$3</definedName>
    <definedName name="_xlnm._FilterDatabase" localSheetId="11" hidden="1">CCPA_DataFile_7_3!$A$1:$H$4</definedName>
    <definedName name="_xlnm._FilterDatabase" localSheetId="12" hidden="1">CCPA_DataFile_7_3a!$A$1:$G$3</definedName>
    <definedName name="_xlnm._FilterDatabase" localSheetId="13" hidden="1">CCPA_DataFile_7_3b!$A$1:$E$2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4" l="1"/>
  <c r="K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2" i="34"/>
  <c r="K315" i="34" l="1"/>
  <c r="K353" i="34"/>
  <c r="K352" i="34"/>
  <c r="K347" i="34" a="1"/>
  <c r="K347" i="34" s="1"/>
  <c r="K348" i="34" a="1"/>
  <c r="K348" i="34" s="1"/>
  <c r="K349" i="34" a="1"/>
  <c r="K349" i="34" s="1"/>
  <c r="K350" i="34" a="1"/>
  <c r="K350" i="34" s="1"/>
  <c r="K351" i="34" a="1"/>
  <c r="K351" i="34" s="1"/>
  <c r="K346" i="34" a="1"/>
  <c r="K346" i="34" s="1"/>
  <c r="K341" i="34" a="1"/>
  <c r="K341" i="34" s="1"/>
  <c r="K342" i="34" a="1"/>
  <c r="K342" i="34" s="1"/>
  <c r="K343" i="34" a="1"/>
  <c r="K343" i="34" s="1"/>
  <c r="K344" i="34" a="1"/>
  <c r="K344" i="34" s="1"/>
  <c r="K345" i="34" a="1"/>
  <c r="K345" i="34" s="1"/>
  <c r="K340" i="34" a="1"/>
  <c r="K340" i="34" s="1"/>
  <c r="K335" i="34" a="1"/>
  <c r="K335" i="34" s="1"/>
  <c r="K336" i="34" a="1"/>
  <c r="K336" i="34" s="1"/>
  <c r="K337" i="34" a="1"/>
  <c r="K337" i="34" s="1"/>
  <c r="K338" i="34" a="1"/>
  <c r="K338" i="34" s="1"/>
  <c r="K339" i="34" a="1"/>
  <c r="K339" i="34" s="1"/>
  <c r="K334" i="34" a="1"/>
  <c r="K334" i="34" s="1"/>
  <c r="K329" i="34" a="1"/>
  <c r="K329" i="34" s="1"/>
  <c r="K330" i="34" a="1"/>
  <c r="K330" i="34" s="1"/>
  <c r="K331" i="34" a="1"/>
  <c r="K331" i="34" s="1"/>
  <c r="K332" i="34" a="1"/>
  <c r="K332" i="34" s="1"/>
  <c r="K333" i="34" a="1"/>
  <c r="K333" i="34" s="1"/>
  <c r="K328" i="34" a="1"/>
  <c r="K328" i="34" s="1"/>
  <c r="K323" i="34" a="1"/>
  <c r="K323" i="34" s="1"/>
  <c r="K324" i="34" a="1"/>
  <c r="K324" i="34" s="1"/>
  <c r="K325" i="34" a="1"/>
  <c r="K325" i="34" s="1"/>
  <c r="K326" i="34" a="1"/>
  <c r="K326" i="34" s="1"/>
  <c r="K327" i="34" a="1"/>
  <c r="K327" i="34" s="1"/>
  <c r="K322" i="34" a="1"/>
  <c r="K322" i="34" s="1"/>
  <c r="K317" i="34" a="1"/>
  <c r="K317" i="34" s="1"/>
  <c r="K318" i="34" a="1"/>
  <c r="K318" i="34" s="1"/>
  <c r="K319" i="34" a="1"/>
  <c r="K319" i="34" s="1"/>
  <c r="K320" i="34" a="1"/>
  <c r="K320" i="34" s="1"/>
  <c r="K321" i="34" a="1"/>
  <c r="K321"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5" i="34" a="1"/>
  <c r="K95"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<sst xmlns="http://schemas.openxmlformats.org/spreadsheetml/2006/main" count="5869" uniqueCount="600">
  <si>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</si>
  <si>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</si>
  <si>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</si>
  <si>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</si>
  <si>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</si>
  <si>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</si>
  <si>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</si>
  <si>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</si>
  <si>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</si>
  <si>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</si>
  <si>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</si>
  <si>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</si>
  <si>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</si>
  <si>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</si>
  <si>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</si>
  <si>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</si>
  <si>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</si>
  <si>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</si>
  <si>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</si>
  <si>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</si>
  <si>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</si>
  <si>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</si>
  <si>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</si>
  <si>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</si>
  <si>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</si>
  <si>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</si>
  <si>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</si>
  <si>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</si>
  <si>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</si>
  <si>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</si>
  <si>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</si>
  <si>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</si>
  <si>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</si>
  <si>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</si>
  <si>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</si>
  <si>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</si>
  <si>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</si>
  <si>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</si>
  <si>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</si>
  <si>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</si>
  <si>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</si>
  <si>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</si>
  <si>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</si>
  <si>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</si>
  <si>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</si>
  <si>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</si>
  <si>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</si>
  <si>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</si>
  <si>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</si>
  <si>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</si>
  <si>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</si>
  <si>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</si>
  <si>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</si>
  <si>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</si>
  <si>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</si>
  <si>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</si>
  <si>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</si>
  <si>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</si>
  <si>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</si>
  <si>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</si>
  <si>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</si>
  <si>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</si>
  <si>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</si>
  <si>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</si>
  <si>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</si>
  <si>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</si>
  <si>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</si>
  <si>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</si>
  <si>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</si>
  <si>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</si>
  <si>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</si>
  <si>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</si>
  <si>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</si>
  <si>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</si>
  <si>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</si>
  <si>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</si>
  <si>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</si>
  <si>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</si>
  <si>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</si>
  <si>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</si>
  <si>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</si>
  <si>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</si>
  <si>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</si>
  <si>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</si>
  <si>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</si>
  <si>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</si>
  <si>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</si>
  <si>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</si>
  <si>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</si>
  <si>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</si>
  <si>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</si>
  <si>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</si>
  <si>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</si>
  <si>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</si>
  <si>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</si>
  <si>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</si>
  <si>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</si>
  <si>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</si>
  <si>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</si>
  <si>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</si>
  <si>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</si>
  <si>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</si>
  <si>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</si>
  <si>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</si>
  <si>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</si>
  <si>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</si>
  <si>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</si>
  <si>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</si>
  <si>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</si>
  <si>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</si>
  <si>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</si>
  <si>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</si>
  <si>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</si>
  <si>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</si>
  <si>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</si>
  <si>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</si>
  <si>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</si>
  <si>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</si>
  <si>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</si>
  <si>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</si>
  <si>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</si>
  <si>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</si>
  <si>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</si>
  <si>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</si>
  <si>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</si>
  <si>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</si>
  <si>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</si>
  <si>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</si>
  <si>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</si>
  <si>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</si>
  <si>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</si>
  <si>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</si>
  <si>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</si>
  <si>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</si>
  <si>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</si>
  <si>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</si>
  <si>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</si>
  <si>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</si>
  <si>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</si>
  <si>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</si>
  <si>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</si>
  <si>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</si>
  <si>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</si>
  <si>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</si>
  <si>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</si>
  <si>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</si>
  <si>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</si>
  <si>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</si>
  <si>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</si>
  <si>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</si>
  <si>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</si>
  <si>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</si>
  <si>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</si>
  <si>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</si>
  <si>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</si>
  <si>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</si>
  <si>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</si>
  <si>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</si>
  <si>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</si>
  <si>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</si>
  <si>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</si>
  <si>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</si>
  <si>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</si>
  <si>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</si>
  <si>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</si>
  <si>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</si>
  <si>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</si>
  <si>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</si>
  <si>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</si>
  <si>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</si>
  <si>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</si>
  <si>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</si>
  <si>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</si>
  <si>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</si>
  <si>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</si>
  <si>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</si>
  <si>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</si>
  <si>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</si>
  <si>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</si>
  <si>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</si>
  <si>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</si>
  <si>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</si>
  <si>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</si>
  <si>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</si>
  <si>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</si>
  <si>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</si>
  <si>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</si>
  <si>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</si>
  <si>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</si>
  <si>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</si>
  <si>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</si>
  <si>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</si>
  <si>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</si>
  <si>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</si>
  <si>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</si>
  <si>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</si>
  <si>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</si>
  <si>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</si>
  <si>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</si>
  <si>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</si>
  <si>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</si>
  <si>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</si>
  <si>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</si>
  <si>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</si>
  <si>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</si>
  <si>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</si>
  <si>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</si>
  <si>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</si>
  <si>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</si>
  <si>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</si>
  <si>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</si>
  <si>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</si>
  <si>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</si>
  <si>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</si>
  <si>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</si>
  <si>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</si>
  <si>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</si>
  <si>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</si>
  <si>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</si>
  <si>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</si>
  <si>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</si>
  <si>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</si>
  <si>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</si>
  <si>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</si>
  <si>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</si>
  <si>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</si>
  <si>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</si>
  <si>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</si>
  <si>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</si>
  <si>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</si>
  <si>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</si>
  <si>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</si>
  <si>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</si>
  <si>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</si>
  <si>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</si>
  <si>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</si>
  <si>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</si>
  <si>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</si>
  <si>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</si>
  <si>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</si>
  <si>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</si>
  <si>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</si>
  <si>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</si>
  <si>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</si>
  <si>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</si>
  <si>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</si>
  <si>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</si>
  <si>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</si>
  <si>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</si>
  <si>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</si>
  <si>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</si>
  <si>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</si>
  <si>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</si>
  <si>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</si>
  <si>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</si>
  <si>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</si>
  <si>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</si>
  <si>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</si>
  <si>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</si>
  <si>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</si>
  <si>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</si>
  <si>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</si>
  <si>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</si>
  <si>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</si>
  <si>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</si>
  <si>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</si>
  <si>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</si>
  <si>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</si>
  <si>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</si>
  <si>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</si>
  <si>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</si>
  <si>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</si>
  <si>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</si>
  <si>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</si>
  <si>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</si>
  <si>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</si>
  <si>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</si>
  <si>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</si>
  <si>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</si>
  <si>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</si>
  <si>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</si>
  <si>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</si>
  <si>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</si>
  <si>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</si>
  <si>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</si>
  <si>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</si>
  <si>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</si>
  <si>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</si>
  <si>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</si>
  <si>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</si>
  <si>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</si>
  <si>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</si>
  <si>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</si>
  <si>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</si>
  <si>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</si>
  <si>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</si>
  <si>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</si>
  <si>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</si>
  <si>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</si>
  <si>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</si>
  <si>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</si>
  <si>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</si>
  <si>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</si>
  <si>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</si>
  <si>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</si>
  <si>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</si>
  <si>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</si>
  <si>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</si>
  <si>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</si>
  <si>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</si>
  <si>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</si>
  <si>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</si>
  <si>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</si>
  <si>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</si>
  <si>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</si>
  <si>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</si>
  <si>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</si>
  <si>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</si>
  <si>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</si>
  <si>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</si>
  <si>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</si>
  <si>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</si>
  <si>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</si>
  <si>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</si>
  <si>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</si>
  <si>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</si>
  <si>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</si>
  <si>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</si>
  <si>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</si>
  <si>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</si>
  <si>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</si>
  <si>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</si>
  <si>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</si>
  <si>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</si>
  <si>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</si>
  <si>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</si>
  <si>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</si>
  <si>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</si>
  <si>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</si>
  <si>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</si>
  <si>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</si>
  <si>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</si>
  <si>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</si>
  <si>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</si>
  <si>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</si>
  <si>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</si>
  <si>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</si>
  <si>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</si>
  <si>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</si>
  <si>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</si>
  <si>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</si>
  <si>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</si>
  <si>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</si>
  <si>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</si>
  <si>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</si>
  <si>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</si>
  <si>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</si>
  <si>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</si>
  <si>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</si>
  <si>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</si>
  <si>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</si>
  <si>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</si>
  <si>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</si>
  <si>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</si>
  <si>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</si>
  <si>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</si>
  <si>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</si>
  <si>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</si>
  <si>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</si>
  <si>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</si>
  <si>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</si>
  <si>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</si>
  <si>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</si>
  <si>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</si>
  <si>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</si>
  <si>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</si>
  <si>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</si>
  <si>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</si>
  <si>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</si>
  <si>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</si>
  <si>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</si>
  <si>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</si>
  <si>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</si>
  <si>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</si>
  <si>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</si>
  <si>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</si>
  <si>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</si>
  <si>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</si>
  <si>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</si>
  <si>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</si>
  <si>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</si>
  <si>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</si>
  <si>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</si>
  <si>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</si>
  <si>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</si>
  <si>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</si>
  <si>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</si>
  <si>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</si>
  <si>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</si>
  <si>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</si>
  <si>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</si>
  <si>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</si>
  <si>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</si>
  <si>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</si>
  <si>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</si>
  <si>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</si>
  <si>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</si>
  <si>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</si>
  <si>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</si>
  <si>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</si>
  <si>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</si>
  <si>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</si>
  <si>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</si>
  <si>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</si>
  <si>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</si>
  <si>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</si>
  <si>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</si>
  <si>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</si>
  <si>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</si>
  <si>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</si>
  <si>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</si>
  <si>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</si>
  <si>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</si>
  <si>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</si>
  <si>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</si>
  <si>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</si>
  <si>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</si>
  <si>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</si>
  <si>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</si>
  <si>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</si>
  <si>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</si>
  <si>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</si>
  <si>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</si>
  <si>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</si>
  <si>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</si>
  <si>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</si>
  <si>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</si>
  <si>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</si>
  <si>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</si>
  <si>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</si>
  <si>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</si>
  <si>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</si>
  <si>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</si>
  <si>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</si>
  <si>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</si>
  <si>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</si>
  <si>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</si>
  <si>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</si>
  <si>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</si>
  <si>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</si>
  <si>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</si>
  <si>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</si>
  <si>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</si>
  <si>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</si>
  <si>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</si>
  <si>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</si>
  <si>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</si>
  <si>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</si>
  <si>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</si>
  <si>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</si>
  <si>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</si>
  <si>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</si>
  <si>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</si>
  <si>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</si>
  <si>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</si>
  <si>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</si>
  <si>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</si>
  <si>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</si>
  <si>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</si>
  <si>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</si>
  <si>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</si>
  <si>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</si>
  <si>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</si>
  <si>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</si>
  <si>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</si>
  <si>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</si>
  <si>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</si>
  <si>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</si>
  <si>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</si>
  <si>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</si>
  <si>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</si>
  <si>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</si>
  <si>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</si>
  <si>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</si>
  <si>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</si>
  <si>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</si>
  <si>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</si>
  <si>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</si>
  <si>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</si>
  <si>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</si>
  <si>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</si>
  <si>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</si>
  <si>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</si>
  <si>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</si>
  <si>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</si>
  <si>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</si>
  <si>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</si>
  <si>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</si>
  <si>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</si>
  <si>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</si>
  <si>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</si>
  <si>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</si>
  <si>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</si>
  <si>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</si>
  <si>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</si>
  <si>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</si>
  <si>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</si>
  <si>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</si>
  <si>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</si>
  <si>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</si>
  <si>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</si>
  <si>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</si>
  <si>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</si>
  <si>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</si>
  <si>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</si>
  <si>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</si>
  <si>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</si>
  <si>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</si>
  <si>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</si>
  <si>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</si>
  <si>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</si>
  <si>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</si>
  <si>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</si>
  <si>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</si>
  <si>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</si>
  <si>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</si>
  <si>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</si>
  <si>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</si>
  <si>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</si>
  <si>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</si>
  <si>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</si>
  <si>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</si>
  <si>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</si>
  <si>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</si>
  <si>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</si>
  <si>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</si>
  <si>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</si>
  <si>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</si>
  <si>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</si>
  <si>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</si>
  <si>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</si>
  <si>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</si>
  <si>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</si>
  <si>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</si>
  <si>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</si>
  <si>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</si>
  <si>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</si>
  <si>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</si>
  <si>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</si>
  <si>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</si>
  <si>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</si>
  <si>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</si>
  <si>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</si>
  <si>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</si>
  <si>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</si>
  <si>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</si>
  <si>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</si>
  <si>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</si>
  <si>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</si>
  <si>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</si>
  <si>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</si>
  <si>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</si>
  <si>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</si>
  <si>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</si>
  <si>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</si>
  <si>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3 days</t>
  </si>
  <si>
    <t>600 days/1 year</t>
  </si>
  <si>
    <t xml:space="preserve">Risk Based Margining </t>
  </si>
  <si>
    <t>n/a</t>
  </si>
  <si>
    <t xml:space="preserve">600 Days/ 1 year </t>
  </si>
  <si>
    <t>daily</t>
  </si>
  <si>
    <t>Once a day</t>
  </si>
  <si>
    <t>EoD (Nightbatch)</t>
  </si>
  <si>
    <t xml:space="preserve">cover 2 </t>
  </si>
  <si>
    <t>The Default Fund contributions of clearing members are held on CCP.A's balance sheet</t>
  </si>
  <si>
    <t>https://www.ccpa.at/uploads/u/ccpa/PDF/Risk_Management/Investment_Policy_V7.1.pdf</t>
  </si>
  <si>
    <t>within 2 hours</t>
  </si>
  <si>
    <t>https://www.ccpa.at/uploads/u/ccpa/PDF/Risk_Management/Investment_Policy_V7.2.pdf</t>
  </si>
  <si>
    <t xml:space="preserve">CCPA </t>
  </si>
  <si>
    <t xml:space="preserve">DurationofFailures </t>
  </si>
  <si>
    <t xml:space="preserve">NumberofFailures </t>
  </si>
  <si>
    <t>none</t>
  </si>
  <si>
    <t>ETD</t>
  </si>
  <si>
    <t xml:space="preserve">Equitiy </t>
  </si>
  <si>
    <t>Warrants</t>
  </si>
  <si>
    <t xml:space="preserve">Wiener Börse AG </t>
  </si>
  <si>
    <t>https://www.ccpa.at/risikomanagement-wertpapierabwicklung/berechnung-der-marginhoehe/risk-faktoren/</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</si>
  <si>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</si>
  <si>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</si>
  <si>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</si>
  <si>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</si>
  <si>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</si>
  <si>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</si>
  <si>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Face Value</t>
  </si>
  <si>
    <t>Unit</t>
  </si>
  <si>
    <t>Bonds 1</t>
  </si>
  <si>
    <t>Certificates 1</t>
  </si>
  <si>
    <t>Bonds 2</t>
  </si>
  <si>
    <t>Certificates 2</t>
  </si>
  <si>
    <t>https://www.ccpa.at/en/risk-management-securities-clearing/collaterals-collateral-policy/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</si>
</sst>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s>
  <fonts count="1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8"/>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1"/>
      <name val="Calibri"/>
      <family val="2"/>
      <scheme val="minor"/>
    </font>
    <font>
      <sz val="11"/>
      <color rgb="FF0000FA"/>
      <name val="Calibri"/>
      <family val="2"/>
      <scheme val="minor"/>
    </font>
    <font>
      <i/>
      <sz val="8"/>
      <color theme="0" tint="-0.499984740745262"/>
      <name val="Calibri"/>
      <family val="2"/>
      <scheme val="minor"/>
    </font>
    <font>
      <i/>
      <sz val="11"/>
      <color theme="0" tint="-0.499984740745262"/>
      <name val="Calibri"/>
      <family val="2"/>
      <scheme val="minor"/>
    </font>
    <font>
      <u/>
      <sz val="11"/>
      <color theme="10"/>
      <name val="Calibri"/>
      <family val="2"/>
      <scheme val="minor"/>
    </font>
    <font>
      <u/>
      <sz val="11"/>
      <color theme="1"/>
      <name val="Calibri"/>
      <family val="2"/>
      <scheme val="minor"/>
    </font>
    <font>
      <u/>
      <sz val="11"/>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8">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pplyNumberFormat="0" applyFill="0" applyBorder="0" applyAlignment="0" applyProtection="0"/>
  </cellStyleXfs>
  <cellXfs count="143">
    <xf numFmtId="0" fontId="0" fillId="0" borderId="0" xfId="0"/>
    <xf numFmtId="165" fontId="0" fillId="0" borderId="0" xfId="0" applyNumberFormat="1" applyAlignment="1">
      <alignment horizontal="left" vertical="top"/>
    </xf>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7" fillId="0" borderId="0" xfId="0" applyFont="1"/>
    <xf numFmtId="165" fontId="10" fillId="0" borderId="0" xfId="0" applyNumberFormat="1" applyFont="1" applyAlignment="1">
      <alignment horizontal="left" vertical="top"/>
    </xf>
    <xf numFmtId="0" fontId="10" fillId="0" borderId="0" xfId="0" applyFont="1" applyAlignment="1">
      <alignment horizontal="left" vertical="top"/>
    </xf>
    <xf numFmtId="166" fontId="10" fillId="0" borderId="0" xfId="0" applyNumberFormat="1" applyFont="1" applyAlignment="1">
      <alignment horizontal="left" vertical="top"/>
    </xf>
    <xf numFmtId="167" fontId="10" fillId="0" borderId="0" xfId="0" applyNumberFormat="1" applyFont="1" applyAlignment="1">
      <alignment horizontal="left" vertical="top"/>
    </xf>
    <xf numFmtId="168" fontId="10" fillId="0" borderId="0" xfId="0" applyNumberFormat="1" applyFont="1" applyAlignment="1">
      <alignment horizontal="left" vertical="top"/>
    </xf>
    <xf numFmtId="169" fontId="10" fillId="0" borderId="0" xfId="0" applyNumberFormat="1" applyFont="1" applyAlignment="1">
      <alignment horizontal="left" vertical="top"/>
    </xf>
    <xf numFmtId="0" fontId="10" fillId="0" borderId="0" xfId="0" applyFont="1"/>
    <xf numFmtId="49" fontId="0" fillId="0" borderId="1" xfId="0" applyNumberFormat="1" applyBorder="1" applyAlignment="1">
      <alignment horizontal="left" vertical="center" wrapText="1"/>
    </xf>
    <xf numFmtId="0" fontId="0" fillId="0" borderId="0" xfId="0" applyAlignment="1">
      <alignment horizontal="left" vertical="center" wrapText="1"/>
    </xf>
    <xf numFmtId="49" fontId="0" fillId="0" borderId="0" xfId="0" applyNumberFormat="1" applyAlignment="1">
      <alignment horizontal="lef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0" fillId="0" borderId="0" xfId="0" applyAlignment="1">
      <alignment horizontal="left" vertical="center"/>
    </xf>
    <xf numFmtId="165" fontId="11" fillId="2" borderId="0" xfId="0" applyNumberFormat="1" applyFont="1" applyFill="1" applyAlignment="1">
      <alignment horizontal="left" vertical="center"/>
    </xf>
    <xf numFmtId="0" fontId="11" fillId="2" borderId="0" xfId="0" applyFont="1" applyFill="1" applyAlignment="1">
      <alignment horizontal="left" vertical="center"/>
    </xf>
    <xf numFmtId="49" fontId="11" fillId="2" borderId="0" xfId="0" applyNumberFormat="1" applyFont="1" applyFill="1" applyAlignment="1">
      <alignment horizontal="left" vertical="center"/>
    </xf>
    <xf numFmtId="0" fontId="0" fillId="4" borderId="0" xfId="0" applyFill="1" applyAlignment="1">
      <alignment horizontal="left" vertical="center"/>
    </xf>
    <xf numFmtId="171" fontId="10" fillId="0" borderId="0" xfId="0" applyNumberFormat="1" applyFont="1" applyAlignment="1">
      <alignment horizontal="left" vertical="top"/>
    </xf>
    <xf numFmtId="171" fontId="0" fillId="0" borderId="0" xfId="0" applyNumberFormat="1" applyAlignment="1">
      <alignment horizontal="left"/>
    </xf>
    <xf numFmtId="0" fontId="6" fillId="0" borderId="0" xfId="0" applyFont="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0" fontId="13" fillId="7" borderId="1" xfId="0" applyFont="1" applyFill="1" applyBorder="1" applyAlignment="1">
      <alignment horizontal="left" vertical="center" wrapText="1"/>
    </xf>
    <xf numFmtId="0" fontId="10" fillId="0" borderId="1" xfId="2" applyFont="1" applyBorder="1" applyAlignment="1">
      <alignment horizontal="left" vertical="center" wrapText="1"/>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xf>
    <xf numFmtId="49" fontId="10" fillId="0" borderId="1" xfId="3" applyNumberFormat="1" applyFont="1" applyBorder="1" applyAlignment="1">
      <alignment horizontal="left" vertical="center"/>
    </xf>
    <xf numFmtId="49" fontId="10" fillId="0" borderId="1" xfId="0" applyNumberFormat="1" applyFont="1" applyBorder="1" applyAlignment="1">
      <alignment horizontal="left" vertical="center" wrapText="1"/>
    </xf>
    <xf numFmtId="0" fontId="4" fillId="4" borderId="0" xfId="0" applyFont="1" applyFill="1"/>
    <xf numFmtId="49" fontId="0" fillId="4" borderId="0" xfId="0" applyNumberFormat="1" applyFill="1" applyAlignment="1">
      <alignment horizontal="left" vertical="center"/>
    </xf>
    <xf numFmtId="49" fontId="14" fillId="4" borderId="0" xfId="0" applyNumberFormat="1" applyFont="1" applyFill="1" applyAlignment="1">
      <alignment horizontal="left" vertical="center"/>
    </xf>
    <xf numFmtId="0" fontId="0" fillId="4" borderId="0" xfId="0" applyFill="1"/>
    <xf numFmtId="0" fontId="5" fillId="4" borderId="0" xfId="0" applyFont="1" applyFill="1" applyAlignment="1">
      <alignment horizontal="left" vertical="center"/>
    </xf>
    <xf numFmtId="165" fontId="14" fillId="4" borderId="0" xfId="0" applyNumberFormat="1" applyFont="1" applyFill="1" applyAlignment="1">
      <alignment horizontal="left" vertical="center" wrapText="1"/>
    </xf>
    <xf numFmtId="0" fontId="14" fillId="4" borderId="0" xfId="0" applyFont="1" applyFill="1" applyAlignment="1">
      <alignment horizontal="left" vertical="center"/>
    </xf>
    <xf numFmtId="165" fontId="0" fillId="4" borderId="0" xfId="0" applyNumberFormat="1" applyFill="1" applyAlignment="1">
      <alignment horizontal="left" vertical="center"/>
    </xf>
    <xf numFmtId="165" fontId="0" fillId="4" borderId="2" xfId="0" applyNumberFormat="1" applyFill="1" applyBorder="1" applyAlignment="1">
      <alignment horizontal="left" vertical="center" wrapText="1"/>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165" fontId="0" fillId="4" borderId="3" xfId="0" applyNumberFormat="1" applyFill="1" applyBorder="1" applyAlignment="1">
      <alignment horizontal="left" vertical="center" wrapText="1"/>
    </xf>
    <xf numFmtId="0" fontId="0" fillId="4" borderId="3" xfId="0" applyFill="1" applyBorder="1" applyAlignment="1">
      <alignment horizontal="left" vertical="center"/>
    </xf>
    <xf numFmtId="49" fontId="0" fillId="4" borderId="3" xfId="0" applyNumberFormat="1" applyFill="1" applyBorder="1" applyAlignment="1">
      <alignment horizontal="left" vertical="center"/>
    </xf>
    <xf numFmtId="49" fontId="10" fillId="4" borderId="2" xfId="0" applyNumberFormat="1" applyFont="1" applyFill="1" applyBorder="1" applyAlignment="1">
      <alignment horizontal="left" vertical="center"/>
    </xf>
    <xf numFmtId="165" fontId="0" fillId="4" borderId="4" xfId="0" applyNumberFormat="1" applyFill="1" applyBorder="1" applyAlignment="1">
      <alignment horizontal="left" vertical="center" wrapText="1"/>
    </xf>
    <xf numFmtId="49" fontId="10" fillId="4" borderId="4" xfId="0" applyNumberFormat="1" applyFont="1" applyFill="1" applyBorder="1" applyAlignment="1">
      <alignment horizontal="left" vertical="center"/>
    </xf>
    <xf numFmtId="49" fontId="0" fillId="4" borderId="4" xfId="0" applyNumberFormat="1" applyFill="1" applyBorder="1" applyAlignment="1">
      <alignment horizontal="left" vertical="center"/>
    </xf>
    <xf numFmtId="0" fontId="2" fillId="4" borderId="0" xfId="0" applyFont="1" applyFill="1"/>
    <xf numFmtId="0" fontId="9" fillId="4" borderId="0" xfId="0" applyFont="1" applyFill="1"/>
    <xf numFmtId="0" fontId="0" fillId="4" borderId="0" xfId="0" applyFill="1" applyAlignment="1">
      <alignment horizontal="left" vertical="center" wrapText="1"/>
    </xf>
    <xf numFmtId="0" fontId="0" fillId="4" borderId="0" xfId="0" applyFill="1" applyAlignment="1">
      <alignment horizontal="left"/>
    </xf>
    <xf numFmtId="0" fontId="11" fillId="2" borderId="3" xfId="0" applyFont="1" applyFill="1" applyBorder="1" applyAlignment="1">
      <alignment horizontal="left" vertical="center" wrapText="1"/>
    </xf>
    <xf numFmtId="0" fontId="11" fillId="2" borderId="3" xfId="0" applyFont="1" applyFill="1" applyBorder="1" applyAlignment="1">
      <alignment horizontal="left" vertical="center"/>
    </xf>
    <xf numFmtId="0" fontId="0" fillId="4" borderId="3" xfId="2"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3" xfId="0" applyFont="1" applyFill="1" applyBorder="1" applyAlignment="1">
      <alignment horizontal="left" vertical="center" wrapText="1" readingOrder="1"/>
    </xf>
    <xf numFmtId="0" fontId="0" fillId="4" borderId="3" xfId="0" applyFill="1" applyBorder="1" applyAlignment="1">
      <alignment horizontal="left" vertical="center" wrapText="1"/>
    </xf>
    <xf numFmtId="0" fontId="0" fillId="4" borderId="3" xfId="3" applyFont="1" applyFill="1" applyBorder="1" applyAlignment="1">
      <alignment horizontal="left" vertical="center" wrapText="1"/>
    </xf>
    <xf numFmtId="0" fontId="10" fillId="4" borderId="3" xfId="0" applyFont="1" applyFill="1" applyBorder="1" applyAlignment="1">
      <alignment horizontal="left"/>
    </xf>
    <xf numFmtId="0" fontId="11" fillId="2" borderId="5" xfId="0" applyFont="1" applyFill="1" applyBorder="1" applyAlignment="1">
      <alignment horizontal="left" vertical="center" wrapText="1"/>
    </xf>
    <xf numFmtId="0" fontId="10" fillId="4" borderId="5" xfId="0" applyFont="1" applyFill="1" applyBorder="1" applyAlignment="1">
      <alignment horizontal="left" vertical="center" wrapText="1" readingOrder="1"/>
    </xf>
    <xf numFmtId="0" fontId="15" fillId="4" borderId="5" xfId="0" applyFont="1" applyFill="1" applyBorder="1" applyAlignment="1">
      <alignment horizontal="left" vertical="center" wrapText="1" readingOrder="1"/>
    </xf>
    <xf numFmtId="0" fontId="15" fillId="4" borderId="3" xfId="0" applyFont="1" applyFill="1" applyBorder="1" applyAlignment="1">
      <alignment horizontal="left" vertical="center" wrapText="1" readingOrder="1"/>
    </xf>
    <xf numFmtId="166" fontId="0" fillId="0" borderId="0" xfId="0" applyNumberFormat="1" applyAlignment="1">
      <alignment horizontal="right" vertical="top"/>
    </xf>
    <xf numFmtId="166" fontId="10" fillId="0" borderId="0" xfId="0" applyNumberFormat="1" applyFont="1" applyAlignment="1">
      <alignment horizontal="right" vertical="top"/>
    </xf>
    <xf numFmtId="171" fontId="0" fillId="0" borderId="0" xfId="0" applyNumberFormat="1" applyAlignment="1">
      <alignment horizontal="right" vertical="top"/>
    </xf>
    <xf numFmtId="165"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10" fontId="12" fillId="6" borderId="1" xfId="0" applyNumberFormat="1" applyFont="1" applyFill="1" applyBorder="1" applyAlignment="1">
      <alignment horizontal="left" vertical="center"/>
    </xf>
    <xf numFmtId="10" fontId="12" fillId="6" borderId="1" xfId="0" applyNumberFormat="1" applyFont="1" applyFill="1" applyBorder="1" applyAlignment="1">
      <alignment horizontal="left" vertical="center" wrapText="1"/>
    </xf>
    <xf numFmtId="165" fontId="0" fillId="8" borderId="1" xfId="0" applyNumberFormat="1" applyFont="1" applyFill="1" applyBorder="1" applyAlignment="1">
      <alignment horizontal="left" vertical="center"/>
    </xf>
    <xf numFmtId="0" fontId="0" fillId="8" borderId="1" xfId="0" applyFont="1" applyFill="1" applyBorder="1" applyAlignment="1">
      <alignment horizontal="left" vertical="center"/>
    </xf>
    <xf numFmtId="0" fontId="0" fillId="8" borderId="1" xfId="0" applyFont="1" applyFill="1" applyBorder="1" applyAlignment="1">
      <alignment horizontal="left" vertical="center" wrapText="1"/>
    </xf>
    <xf numFmtId="0" fontId="0" fillId="0" borderId="1" xfId="0" applyFont="1" applyBorder="1" applyAlignment="1">
      <alignment horizontal="left" vertical="center"/>
    </xf>
    <xf numFmtId="0" fontId="0" fillId="5"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5" borderId="1" xfId="0" applyFont="1" applyFill="1" applyBorder="1" applyAlignment="1">
      <alignment horizontal="left" vertical="center" wrapText="1"/>
    </xf>
    <xf numFmtId="171" fontId="0" fillId="0" borderId="0" xfId="0" applyNumberFormat="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10" fillId="0" borderId="0" xfId="0" applyNumberFormat="1" applyFont="1" applyAlignment="1">
      <alignment horizontal="right" vertical="top"/>
    </xf>
    <xf numFmtId="49" fontId="10" fillId="0" borderId="0" xfId="0" applyNumberFormat="1" applyFont="1" applyAlignment="1">
      <alignment horizontal="left" vertical="top"/>
    </xf>
    <xf numFmtId="2" fontId="10"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10" fillId="0" borderId="0" xfId="0" applyNumberFormat="1" applyFont="1" applyAlignment="1">
      <alignment horizontal="left" vertical="top" wrapText="1"/>
    </xf>
    <xf numFmtId="49" fontId="10" fillId="0" borderId="0" xfId="0" applyNumberFormat="1" applyFont="1"/>
    <xf numFmtId="49" fontId="0" fillId="0" borderId="0" xfId="0" applyNumberFormat="1"/>
    <xf numFmtId="0" fontId="10" fillId="0" borderId="0" xfId="0" applyFont="1" applyBorder="1" applyAlignment="1">
      <alignment horizontal="left" vertical="top"/>
    </xf>
    <xf numFmtId="0" fontId="0" fillId="0" borderId="0" xfId="0" applyFont="1" applyBorder="1" applyAlignment="1">
      <alignment horizontal="left" vertical="center" wrapText="1"/>
    </xf>
    <xf numFmtId="165" fontId="10" fillId="0" borderId="0" xfId="0" applyNumberFormat="1" applyFont="1" applyAlignment="1">
      <alignment horizontal="left" vertical="center"/>
    </xf>
    <xf numFmtId="0" fontId="10" fillId="0" borderId="0" xfId="0" applyFont="1" applyAlignment="1">
      <alignment horizontal="left" vertical="center"/>
    </xf>
    <xf numFmtId="169" fontId="10"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10" fillId="0" borderId="0" xfId="0" applyNumberFormat="1" applyFont="1" applyAlignment="1">
      <alignment horizontal="right" vertical="center"/>
    </xf>
    <xf numFmtId="0" fontId="18"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8"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7" fillId="0" borderId="0" xfId="7" applyNumberFormat="1" applyFont="1" applyFill="1" applyAlignment="1">
      <alignment horizontal="left" vertical="center"/>
    </xf>
    <xf numFmtId="172" fontId="0" fillId="0" borderId="0" xfId="0" applyNumberFormat="1" applyAlignment="1">
      <alignment horizontal="right" vertical="center"/>
    </xf>
    <xf numFmtId="0" fontId="7" fillId="0" borderId="0" xfId="0" applyFont="1" applyAlignment="1">
      <alignment horizontal="left" vertical="center"/>
    </xf>
    <xf numFmtId="166" fontId="10" fillId="0" borderId="0" xfId="0" applyNumberFormat="1" applyFont="1" applyAlignment="1">
      <alignment horizontal="left" vertical="center"/>
    </xf>
    <xf numFmtId="167" fontId="10" fillId="0" borderId="0" xfId="0" applyNumberFormat="1" applyFont="1" applyAlignment="1">
      <alignment horizontal="left" vertical="center"/>
    </xf>
    <xf numFmtId="168" fontId="10" fillId="0" borderId="0" xfId="0" applyNumberFormat="1" applyFont="1" applyAlignment="1">
      <alignment horizontal="left" vertical="center"/>
    </xf>
    <xf numFmtId="1" fontId="10" fillId="0" borderId="0" xfId="0" applyNumberFormat="1" applyFont="1" applyAlignment="1">
      <alignment horizontal="left" vertical="center"/>
    </xf>
    <xf numFmtId="170" fontId="10" fillId="0" borderId="0" xfId="0" applyNumberFormat="1"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cellXfs>
  <cellStyles count="8">
    <cellStyle name="Comma 2" xfId="4" xr:uid="{67F12055-96EC-4F01-AEB1-51BBD5D36BA9}"/>
    <cellStyle name="Comma 2 2" xfId="5" xr:uid="{A6268D65-7919-4AC2-999B-417EBC1FF26D}"/>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cpa.at/risikomanagement-wertpapierabwicklung/berechnung-der-marginhoehe/risk-faktoren/" TargetMode="External"/><Relationship Id="rId13" Type="http://schemas.openxmlformats.org/officeDocument/2006/relationships/hyperlink" Target="https://www.ccpa.at/en/risk-management-securities-clearing/collaterals-collateral-policy/" TargetMode="External"/><Relationship Id="rId18" Type="http://schemas.openxmlformats.org/officeDocument/2006/relationships/hyperlink" Target="https://www.ccpa.at/en/risk-management-securities-clearing/collaterals-collateral-policy/" TargetMode="External"/><Relationship Id="rId3" Type="http://schemas.openxmlformats.org/officeDocument/2006/relationships/hyperlink" Target="https://www.ccpa.at/uploads/u/ccpa/PDF/Risk_Management/Investment_Policy_V7.2.pdf" TargetMode="External"/><Relationship Id="rId21" Type="http://schemas.openxmlformats.org/officeDocument/2006/relationships/printerSettings" Target="../printerSettings/printerSettings5.bin"/><Relationship Id="rId7" Type="http://schemas.openxmlformats.org/officeDocument/2006/relationships/hyperlink" Target="https://www.ccpa.at/risikomanagement-wertpapierabwicklung/berechnung-der-marginhoehe/risk-faktoren/" TargetMode="External"/><Relationship Id="rId12" Type="http://schemas.openxmlformats.org/officeDocument/2006/relationships/hyperlink" Target="https://www.ccpa.at/risikomanagement-wertpapierabwicklung/berechnung-der-marginhoehe/risk-faktoren/" TargetMode="External"/><Relationship Id="rId17" Type="http://schemas.openxmlformats.org/officeDocument/2006/relationships/hyperlink" Target="https://www.ccpa.at/en/risk-management-securities-clearing/collaterals-collateral-policy/" TargetMode="External"/><Relationship Id="rId2" Type="http://schemas.openxmlformats.org/officeDocument/2006/relationships/hyperlink" Target="https://www.ccpa.at/uploads/u/ccpa/PDF/Risk_Management/Investment_Policy_V7.2.pdf" TargetMode="External"/><Relationship Id="rId16" Type="http://schemas.openxmlformats.org/officeDocument/2006/relationships/hyperlink" Target="https://www.ccpa.at/en/risk-management-securities-clearing/collaterals-collateral-policy/" TargetMode="External"/><Relationship Id="rId20" Type="http://schemas.openxmlformats.org/officeDocument/2006/relationships/hyperlink" Target="https://www.ccpa.at/en/risk-management-securities-clearing/collaterals-collateral-policy/" TargetMode="External"/><Relationship Id="rId1" Type="http://schemas.openxmlformats.org/officeDocument/2006/relationships/hyperlink" Target="https://www.ccpa.at/uploads/u/ccpa/PDF/Risk_Management/Investment_Policy_V7.1.pdf" TargetMode="External"/><Relationship Id="rId6" Type="http://schemas.openxmlformats.org/officeDocument/2006/relationships/hyperlink" Target="https://www.ccpa.at/risikomanagement-wertpapierabwicklung/berechnung-der-marginhoehe/risk-faktoren/" TargetMode="External"/><Relationship Id="rId11" Type="http://schemas.openxmlformats.org/officeDocument/2006/relationships/hyperlink" Target="https://www.ccpa.at/risikomanagement-wertpapierabwicklung/berechnung-der-marginhoehe/risk-faktoren/" TargetMode="External"/><Relationship Id="rId5" Type="http://schemas.openxmlformats.org/officeDocument/2006/relationships/hyperlink" Target="https://www.ccpa.at/risikomanagement-wertpapierabwicklung/berechnung-der-marginhoehe/risk-faktoren/" TargetMode="External"/><Relationship Id="rId15" Type="http://schemas.openxmlformats.org/officeDocument/2006/relationships/hyperlink" Target="https://www.ccpa.at/en/risk-management-securities-clearing/collaterals-collateral-policy/" TargetMode="External"/><Relationship Id="rId10" Type="http://schemas.openxmlformats.org/officeDocument/2006/relationships/hyperlink" Target="https://www.ccpa.at/uploads/u/ccpa/PDF/Risk_Management/Investment_Policy_V7.2.pdf" TargetMode="External"/><Relationship Id="rId19" Type="http://schemas.openxmlformats.org/officeDocument/2006/relationships/hyperlink" Target="https://www.ccpa.at/en/risk-management-securities-clearing/collaterals-collateral-policy/" TargetMode="External"/><Relationship Id="rId4" Type="http://schemas.openxmlformats.org/officeDocument/2006/relationships/hyperlink" Target="https://www.ccpa.at/risikomanagement-wertpapierabwicklung/berechnung-der-marginhoehe/risk-faktoren/" TargetMode="External"/><Relationship Id="rId9" Type="http://schemas.openxmlformats.org/officeDocument/2006/relationships/hyperlink" Target="https://www.ccpa.at/risikomanagement-wertpapierabwicklung/berechnung-der-marginhoehe/risk-faktoren/" TargetMode="External"/><Relationship Id="rId14" Type="http://schemas.openxmlformats.org/officeDocument/2006/relationships/hyperlink" Target="https://www.ccpa.at/en/risk-management-securities-clearing/collaterals-collateral-polic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90" zoomScaleNormal="90" workbookViewId="0">
      <pane ySplit="1" topLeftCell="A2" activePane="bottomLeft" state="frozen"/>
      <selection pane="bottomLeft"/>
    </sheetView>
  </sheetViews>
  <sheetFormatPr baseColWidth="10" defaultColWidth="9.140625" defaultRowHeight="15" x14ac:dyDescent="0.2"/>
  <cols>
    <col min="1" max="1" width="18.28515625" style="18" bestFit="1" customWidth="1"/>
    <col min="2" max="2" width="51.7109375" style="18" bestFit="1" customWidth="1"/>
    <col min="3" max="3" width="16.85546875" style="19" bestFit="1"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140625" style="8"/>
  </cols>
  <sheetData>
    <row r="1" spans="1:8" x14ac:dyDescent="0.2">
      <c r="A1" s="20" t="s">
        <v>7</v>
      </c>
      <c r="B1" s="20" t="s">
        <v>8</v>
      </c>
      <c r="C1" s="20" t="s">
        <v>9</v>
      </c>
      <c r="D1" s="20" t="s">
        <v>10</v>
      </c>
      <c r="E1" s="20" t="s">
        <v>11</v>
      </c>
      <c r="F1" s="20" t="s">
        <v>12</v>
      </c>
      <c r="G1" s="21" t="s">
        <v>13</v>
      </c>
      <c r="H1" s="20" t="s">
        <v>14</v>
      </c>
    </row>
    <row r="2" spans="1:8" ht="60" x14ac:dyDescent="0.2">
      <c r="A2" s="35">
        <v>4.0999999999999996</v>
      </c>
      <c r="B2" s="35" t="s">
        <v>15</v>
      </c>
      <c r="C2" s="36" t="s">
        <v>16</v>
      </c>
      <c r="D2" s="37" t="s">
        <v>17</v>
      </c>
      <c r="E2" s="37" t="s">
        <v>18</v>
      </c>
      <c r="F2" s="38" t="s">
        <v>19</v>
      </c>
      <c r="G2" s="39" t="s">
        <v>20</v>
      </c>
      <c r="H2" s="38" t="s">
        <v>21</v>
      </c>
    </row>
    <row r="3" spans="1:8" ht="60" x14ac:dyDescent="0.2">
      <c r="A3" s="35">
        <v>4.0999999999999996</v>
      </c>
      <c r="B3" s="35" t="s">
        <v>15</v>
      </c>
      <c r="C3" s="36" t="s">
        <v>22</v>
      </c>
      <c r="D3" s="37" t="s">
        <v>23</v>
      </c>
      <c r="E3" s="37" t="s">
        <v>18</v>
      </c>
      <c r="F3" s="38" t="s">
        <v>19</v>
      </c>
      <c r="G3" s="39" t="s">
        <v>20</v>
      </c>
      <c r="H3" s="38" t="s">
        <v>21</v>
      </c>
    </row>
    <row r="4" spans="1:8" ht="60" x14ac:dyDescent="0.2">
      <c r="A4" s="35">
        <v>4.0999999999999996</v>
      </c>
      <c r="B4" s="35" t="s">
        <v>15</v>
      </c>
      <c r="C4" s="36" t="s">
        <v>24</v>
      </c>
      <c r="D4" s="37" t="s">
        <v>25</v>
      </c>
      <c r="E4" s="37" t="s">
        <v>18</v>
      </c>
      <c r="F4" s="38" t="s">
        <v>19</v>
      </c>
      <c r="G4" s="39" t="s">
        <v>20</v>
      </c>
      <c r="H4" s="38" t="s">
        <v>21</v>
      </c>
    </row>
    <row r="5" spans="1:8" ht="60" x14ac:dyDescent="0.2">
      <c r="A5" s="35">
        <v>4.0999999999999996</v>
      </c>
      <c r="B5" s="35" t="s">
        <v>15</v>
      </c>
      <c r="C5" s="36" t="s">
        <v>26</v>
      </c>
      <c r="D5" s="37" t="s">
        <v>27</v>
      </c>
      <c r="E5" s="37" t="s">
        <v>18</v>
      </c>
      <c r="F5" s="38" t="s">
        <v>19</v>
      </c>
      <c r="G5" s="39" t="s">
        <v>20</v>
      </c>
      <c r="H5" s="38" t="s">
        <v>21</v>
      </c>
    </row>
    <row r="6" spans="1:8" ht="60" x14ac:dyDescent="0.2">
      <c r="A6" s="35">
        <v>4.0999999999999996</v>
      </c>
      <c r="B6" s="35" t="s">
        <v>15</v>
      </c>
      <c r="C6" s="36" t="s">
        <v>28</v>
      </c>
      <c r="D6" s="37" t="s">
        <v>29</v>
      </c>
      <c r="E6" s="37" t="s">
        <v>18</v>
      </c>
      <c r="F6" s="38" t="s">
        <v>19</v>
      </c>
      <c r="G6" s="39" t="s">
        <v>20</v>
      </c>
      <c r="H6" s="38" t="s">
        <v>21</v>
      </c>
    </row>
    <row r="7" spans="1:8" ht="60" x14ac:dyDescent="0.2">
      <c r="A7" s="35">
        <v>4.0999999999999996</v>
      </c>
      <c r="B7" s="35" t="s">
        <v>15</v>
      </c>
      <c r="C7" s="36" t="s">
        <v>30</v>
      </c>
      <c r="D7" s="37" t="s">
        <v>31</v>
      </c>
      <c r="E7" s="37" t="s">
        <v>18</v>
      </c>
      <c r="F7" s="38" t="s">
        <v>19</v>
      </c>
      <c r="G7" s="39" t="s">
        <v>20</v>
      </c>
      <c r="H7" s="38" t="s">
        <v>21</v>
      </c>
    </row>
    <row r="8" spans="1:8" ht="60" x14ac:dyDescent="0.2">
      <c r="A8" s="35">
        <v>4.0999999999999996</v>
      </c>
      <c r="B8" s="35" t="s">
        <v>15</v>
      </c>
      <c r="C8" s="36" t="s">
        <v>32</v>
      </c>
      <c r="D8" s="37" t="s">
        <v>33</v>
      </c>
      <c r="E8" s="37" t="s">
        <v>18</v>
      </c>
      <c r="F8" s="38" t="s">
        <v>19</v>
      </c>
      <c r="G8" s="39" t="s">
        <v>20</v>
      </c>
      <c r="H8" s="38" t="s">
        <v>21</v>
      </c>
    </row>
    <row r="9" spans="1:8" ht="60" x14ac:dyDescent="0.2">
      <c r="A9" s="35">
        <v>4.0999999999999996</v>
      </c>
      <c r="B9" s="35" t="s">
        <v>15</v>
      </c>
      <c r="C9" s="36" t="s">
        <v>34</v>
      </c>
      <c r="D9" s="37" t="s">
        <v>35</v>
      </c>
      <c r="E9" s="37" t="s">
        <v>18</v>
      </c>
      <c r="F9" s="38" t="s">
        <v>19</v>
      </c>
      <c r="G9" s="39" t="s">
        <v>20</v>
      </c>
      <c r="H9" s="38" t="s">
        <v>21</v>
      </c>
    </row>
    <row r="10" spans="1:8" ht="60" x14ac:dyDescent="0.2">
      <c r="A10" s="35">
        <v>4.0999999999999996</v>
      </c>
      <c r="B10" s="35" t="s">
        <v>15</v>
      </c>
      <c r="C10" s="36" t="s">
        <v>5</v>
      </c>
      <c r="D10" s="37" t="s">
        <v>36</v>
      </c>
      <c r="E10" s="37" t="s">
        <v>18</v>
      </c>
      <c r="F10" s="38" t="s">
        <v>4</v>
      </c>
      <c r="G10" s="39" t="s">
        <v>20</v>
      </c>
      <c r="H10" s="38" t="s">
        <v>21</v>
      </c>
    </row>
    <row r="11" spans="1:8" ht="60" x14ac:dyDescent="0.2">
      <c r="A11" s="35">
        <v>4.0999999999999996</v>
      </c>
      <c r="B11" s="35" t="s">
        <v>15</v>
      </c>
      <c r="C11" s="36" t="s">
        <v>37</v>
      </c>
      <c r="D11" s="37" t="s">
        <v>38</v>
      </c>
      <c r="E11" s="37" t="s">
        <v>18</v>
      </c>
      <c r="F11" s="38" t="s">
        <v>19</v>
      </c>
      <c r="G11" s="39" t="s">
        <v>20</v>
      </c>
      <c r="H11" s="38" t="s">
        <v>21</v>
      </c>
    </row>
    <row r="12" spans="1:8" x14ac:dyDescent="0.2">
      <c r="A12" s="38">
        <v>4.2</v>
      </c>
      <c r="B12" s="35" t="s">
        <v>39</v>
      </c>
      <c r="C12" s="40" t="s">
        <v>40</v>
      </c>
      <c r="D12" s="37" t="s">
        <v>41</v>
      </c>
      <c r="E12" s="37" t="s">
        <v>18</v>
      </c>
      <c r="F12" s="38" t="s">
        <v>42</v>
      </c>
      <c r="G12" s="39" t="s">
        <v>20</v>
      </c>
      <c r="H12" s="38" t="s">
        <v>21</v>
      </c>
    </row>
    <row r="13" spans="1:8" ht="45" x14ac:dyDescent="0.2">
      <c r="A13" s="37">
        <v>4.3</v>
      </c>
      <c r="B13" s="35" t="s">
        <v>43</v>
      </c>
      <c r="C13" s="41" t="s">
        <v>44</v>
      </c>
      <c r="D13" s="37" t="s">
        <v>45</v>
      </c>
      <c r="E13" s="37" t="s">
        <v>46</v>
      </c>
      <c r="F13" s="38" t="s">
        <v>19</v>
      </c>
      <c r="G13" s="39" t="s">
        <v>47</v>
      </c>
      <c r="H13" s="38" t="s">
        <v>21</v>
      </c>
    </row>
    <row r="14" spans="1:8" ht="45" x14ac:dyDescent="0.2">
      <c r="A14" s="37">
        <v>4.3</v>
      </c>
      <c r="B14" s="35" t="s">
        <v>43</v>
      </c>
      <c r="C14" s="41" t="s">
        <v>48</v>
      </c>
      <c r="D14" s="37" t="s">
        <v>49</v>
      </c>
      <c r="E14" s="37" t="s">
        <v>46</v>
      </c>
      <c r="F14" s="38" t="s">
        <v>19</v>
      </c>
      <c r="G14" s="39" t="s">
        <v>47</v>
      </c>
      <c r="H14" s="38" t="s">
        <v>21</v>
      </c>
    </row>
    <row r="15" spans="1:8" ht="45" x14ac:dyDescent="0.2">
      <c r="A15" s="37">
        <v>4.3</v>
      </c>
      <c r="B15" s="35" t="s">
        <v>43</v>
      </c>
      <c r="C15" s="41" t="s">
        <v>50</v>
      </c>
      <c r="D15" s="37" t="s">
        <v>51</v>
      </c>
      <c r="E15" s="37" t="s">
        <v>46</v>
      </c>
      <c r="F15" s="38" t="s">
        <v>19</v>
      </c>
      <c r="G15" s="39" t="s">
        <v>47</v>
      </c>
      <c r="H15" s="38" t="s">
        <v>21</v>
      </c>
    </row>
    <row r="16" spans="1:8" ht="45" x14ac:dyDescent="0.2">
      <c r="A16" s="37">
        <v>4.3</v>
      </c>
      <c r="B16" s="35" t="s">
        <v>43</v>
      </c>
      <c r="C16" s="41" t="s">
        <v>52</v>
      </c>
      <c r="D16" s="37" t="s">
        <v>53</v>
      </c>
      <c r="E16" s="37" t="s">
        <v>46</v>
      </c>
      <c r="F16" s="38" t="s">
        <v>19</v>
      </c>
      <c r="G16" s="39" t="s">
        <v>47</v>
      </c>
      <c r="H16" s="38" t="s">
        <v>21</v>
      </c>
    </row>
    <row r="17" spans="1:8" ht="45" x14ac:dyDescent="0.2">
      <c r="A17" s="37">
        <v>4.3</v>
      </c>
      <c r="B17" s="35" t="s">
        <v>43</v>
      </c>
      <c r="C17" s="41" t="s">
        <v>54</v>
      </c>
      <c r="D17" s="37" t="s">
        <v>55</v>
      </c>
      <c r="E17" s="37" t="s">
        <v>46</v>
      </c>
      <c r="F17" s="38" t="s">
        <v>19</v>
      </c>
      <c r="G17" s="39" t="s">
        <v>47</v>
      </c>
      <c r="H17" s="38" t="s">
        <v>21</v>
      </c>
    </row>
    <row r="18" spans="1:8" ht="45" x14ac:dyDescent="0.2">
      <c r="A18" s="37">
        <v>4.3</v>
      </c>
      <c r="B18" s="35" t="s">
        <v>43</v>
      </c>
      <c r="C18" s="41" t="s">
        <v>56</v>
      </c>
      <c r="D18" s="37" t="s">
        <v>57</v>
      </c>
      <c r="E18" s="37" t="s">
        <v>46</v>
      </c>
      <c r="F18" s="38" t="s">
        <v>19</v>
      </c>
      <c r="G18" s="39" t="s">
        <v>47</v>
      </c>
      <c r="H18" s="38" t="s">
        <v>21</v>
      </c>
    </row>
    <row r="19" spans="1:8" ht="45" x14ac:dyDescent="0.2">
      <c r="A19" s="37">
        <v>4.3</v>
      </c>
      <c r="B19" s="35" t="s">
        <v>43</v>
      </c>
      <c r="C19" s="41" t="s">
        <v>58</v>
      </c>
      <c r="D19" s="37" t="s">
        <v>59</v>
      </c>
      <c r="E19" s="37" t="s">
        <v>46</v>
      </c>
      <c r="F19" s="38" t="s">
        <v>19</v>
      </c>
      <c r="G19" s="39" t="s">
        <v>47</v>
      </c>
      <c r="H19" s="38" t="s">
        <v>21</v>
      </c>
    </row>
    <row r="20" spans="1:8" ht="45" x14ac:dyDescent="0.2">
      <c r="A20" s="37">
        <v>4.3</v>
      </c>
      <c r="B20" s="35" t="s">
        <v>43</v>
      </c>
      <c r="C20" s="41" t="s">
        <v>60</v>
      </c>
      <c r="D20" s="37" t="s">
        <v>61</v>
      </c>
      <c r="E20" s="37" t="s">
        <v>46</v>
      </c>
      <c r="F20" s="38" t="s">
        <v>19</v>
      </c>
      <c r="G20" s="39" t="s">
        <v>47</v>
      </c>
      <c r="H20" s="38" t="s">
        <v>21</v>
      </c>
    </row>
    <row r="21" spans="1:8" ht="45" x14ac:dyDescent="0.2">
      <c r="A21" s="37">
        <v>4.3</v>
      </c>
      <c r="B21" s="35" t="s">
        <v>43</v>
      </c>
      <c r="C21" s="41" t="s">
        <v>62</v>
      </c>
      <c r="D21" s="37" t="s">
        <v>63</v>
      </c>
      <c r="E21" s="37" t="s">
        <v>46</v>
      </c>
      <c r="F21" s="38" t="s">
        <v>19</v>
      </c>
      <c r="G21" s="39" t="s">
        <v>47</v>
      </c>
      <c r="H21" s="38" t="s">
        <v>21</v>
      </c>
    </row>
    <row r="22" spans="1:8" ht="45" x14ac:dyDescent="0.2">
      <c r="A22" s="37">
        <v>4.3</v>
      </c>
      <c r="B22" s="35" t="s">
        <v>43</v>
      </c>
      <c r="C22" s="41" t="s">
        <v>64</v>
      </c>
      <c r="D22" s="37" t="s">
        <v>65</v>
      </c>
      <c r="E22" s="37" t="s">
        <v>46</v>
      </c>
      <c r="F22" s="38" t="s">
        <v>19</v>
      </c>
      <c r="G22" s="39" t="s">
        <v>47</v>
      </c>
      <c r="H22" s="38" t="s">
        <v>21</v>
      </c>
    </row>
    <row r="23" spans="1:8" ht="45" x14ac:dyDescent="0.2">
      <c r="A23" s="37">
        <v>4.3</v>
      </c>
      <c r="B23" s="35" t="s">
        <v>43</v>
      </c>
      <c r="C23" s="41" t="s">
        <v>66</v>
      </c>
      <c r="D23" s="37" t="s">
        <v>67</v>
      </c>
      <c r="E23" s="37" t="s">
        <v>46</v>
      </c>
      <c r="F23" s="38" t="s">
        <v>19</v>
      </c>
      <c r="G23" s="39" t="s">
        <v>47</v>
      </c>
      <c r="H23" s="38" t="s">
        <v>21</v>
      </c>
    </row>
    <row r="24" spans="1:8" ht="45" x14ac:dyDescent="0.2">
      <c r="A24" s="37">
        <v>4.3</v>
      </c>
      <c r="B24" s="35" t="s">
        <v>43</v>
      </c>
      <c r="C24" s="41" t="s">
        <v>68</v>
      </c>
      <c r="D24" s="37" t="s">
        <v>69</v>
      </c>
      <c r="E24" s="37" t="s">
        <v>46</v>
      </c>
      <c r="F24" s="38" t="s">
        <v>19</v>
      </c>
      <c r="G24" s="39" t="s">
        <v>47</v>
      </c>
      <c r="H24" s="38" t="s">
        <v>21</v>
      </c>
    </row>
    <row r="25" spans="1:8" ht="45" x14ac:dyDescent="0.2">
      <c r="A25" s="37">
        <v>4.3</v>
      </c>
      <c r="B25" s="35" t="s">
        <v>43</v>
      </c>
      <c r="C25" s="41" t="s">
        <v>70</v>
      </c>
      <c r="D25" s="37" t="s">
        <v>71</v>
      </c>
      <c r="E25" s="37" t="s">
        <v>46</v>
      </c>
      <c r="F25" s="38" t="s">
        <v>19</v>
      </c>
      <c r="G25" s="39" t="s">
        <v>47</v>
      </c>
      <c r="H25" s="38" t="s">
        <v>21</v>
      </c>
    </row>
    <row r="26" spans="1:8" ht="45" x14ac:dyDescent="0.2">
      <c r="A26" s="37">
        <v>4.3</v>
      </c>
      <c r="B26" s="35" t="s">
        <v>43</v>
      </c>
      <c r="C26" s="41" t="s">
        <v>72</v>
      </c>
      <c r="D26" s="37" t="s">
        <v>563</v>
      </c>
      <c r="E26" s="37" t="s">
        <v>46</v>
      </c>
      <c r="F26" s="38" t="s">
        <v>19</v>
      </c>
      <c r="G26" s="39" t="s">
        <v>47</v>
      </c>
      <c r="H26" s="38" t="s">
        <v>21</v>
      </c>
    </row>
    <row r="27" spans="1:8" ht="45" x14ac:dyDescent="0.2">
      <c r="A27" s="37">
        <v>4.3</v>
      </c>
      <c r="B27" s="35" t="s">
        <v>74</v>
      </c>
      <c r="C27" s="41" t="s">
        <v>75</v>
      </c>
      <c r="D27" s="37" t="s">
        <v>76</v>
      </c>
      <c r="E27" s="37" t="s">
        <v>46</v>
      </c>
      <c r="F27" s="38" t="s">
        <v>19</v>
      </c>
      <c r="G27" s="39" t="s">
        <v>47</v>
      </c>
      <c r="H27" s="38" t="s">
        <v>21</v>
      </c>
    </row>
    <row r="28" spans="1:8" ht="30" x14ac:dyDescent="0.2">
      <c r="A28" s="37">
        <v>4.4000000000000004</v>
      </c>
      <c r="B28" s="35" t="s">
        <v>77</v>
      </c>
      <c r="C28" s="41" t="s">
        <v>78</v>
      </c>
      <c r="D28" s="37" t="s">
        <v>79</v>
      </c>
      <c r="E28" s="37" t="s">
        <v>18</v>
      </c>
      <c r="F28" s="38" t="s">
        <v>4</v>
      </c>
      <c r="G28" s="39" t="s">
        <v>20</v>
      </c>
      <c r="H28" s="38" t="s">
        <v>21</v>
      </c>
    </row>
    <row r="29" spans="1:8" ht="30" x14ac:dyDescent="0.2">
      <c r="A29" s="37">
        <v>4.4000000000000004</v>
      </c>
      <c r="B29" s="35" t="s">
        <v>77</v>
      </c>
      <c r="C29" s="41" t="s">
        <v>6</v>
      </c>
      <c r="D29" s="37" t="s">
        <v>80</v>
      </c>
      <c r="E29" s="37" t="s">
        <v>18</v>
      </c>
      <c r="F29" s="38" t="s">
        <v>4</v>
      </c>
      <c r="G29" s="39" t="s">
        <v>20</v>
      </c>
      <c r="H29" s="38" t="s">
        <v>21</v>
      </c>
    </row>
    <row r="30" spans="1:8" ht="75" x14ac:dyDescent="0.2">
      <c r="A30" s="37">
        <v>4.4000000000000004</v>
      </c>
      <c r="B30" s="35" t="s">
        <v>77</v>
      </c>
      <c r="C30" s="41" t="s">
        <v>81</v>
      </c>
      <c r="D30" s="37" t="s">
        <v>82</v>
      </c>
      <c r="E30" s="37" t="s">
        <v>83</v>
      </c>
      <c r="F30" s="38" t="s">
        <v>42</v>
      </c>
      <c r="G30" s="39" t="s">
        <v>84</v>
      </c>
      <c r="H30" s="38" t="s">
        <v>85</v>
      </c>
    </row>
    <row r="31" spans="1:8" ht="30" x14ac:dyDescent="0.2">
      <c r="A31" s="37">
        <v>4.4000000000000004</v>
      </c>
      <c r="B31" s="35" t="s">
        <v>77</v>
      </c>
      <c r="C31" s="41" t="s">
        <v>86</v>
      </c>
      <c r="D31" s="37" t="s">
        <v>87</v>
      </c>
      <c r="E31" s="37" t="s">
        <v>18</v>
      </c>
      <c r="F31" s="38" t="s">
        <v>88</v>
      </c>
      <c r="G31" s="39" t="s">
        <v>20</v>
      </c>
      <c r="H31" s="38" t="s">
        <v>21</v>
      </c>
    </row>
    <row r="32" spans="1:8" ht="30" x14ac:dyDescent="0.2">
      <c r="A32" s="37">
        <v>4.4000000000000004</v>
      </c>
      <c r="B32" s="35" t="s">
        <v>77</v>
      </c>
      <c r="C32" s="41" t="s">
        <v>89</v>
      </c>
      <c r="D32" s="37" t="s">
        <v>90</v>
      </c>
      <c r="E32" s="37" t="s">
        <v>91</v>
      </c>
      <c r="F32" s="38" t="s">
        <v>19</v>
      </c>
      <c r="G32" s="39" t="s">
        <v>92</v>
      </c>
      <c r="H32" s="38" t="s">
        <v>21</v>
      </c>
    </row>
    <row r="33" spans="1:8" ht="60" x14ac:dyDescent="0.2">
      <c r="A33" s="37">
        <v>4.4000000000000004</v>
      </c>
      <c r="B33" s="35" t="s">
        <v>77</v>
      </c>
      <c r="C33" s="41" t="s">
        <v>93</v>
      </c>
      <c r="D33" s="37" t="s">
        <v>94</v>
      </c>
      <c r="E33" s="37" t="s">
        <v>83</v>
      </c>
      <c r="F33" s="38" t="s">
        <v>19</v>
      </c>
      <c r="G33" s="39" t="s">
        <v>84</v>
      </c>
      <c r="H33" s="38" t="s">
        <v>21</v>
      </c>
    </row>
    <row r="34" spans="1:8" ht="75" x14ac:dyDescent="0.2">
      <c r="A34" s="37">
        <v>4.4000000000000004</v>
      </c>
      <c r="B34" s="35" t="s">
        <v>77</v>
      </c>
      <c r="C34" s="41" t="s">
        <v>95</v>
      </c>
      <c r="D34" s="37" t="s">
        <v>96</v>
      </c>
      <c r="E34" s="37" t="s">
        <v>83</v>
      </c>
      <c r="F34" s="38" t="s">
        <v>19</v>
      </c>
      <c r="G34" s="39" t="s">
        <v>84</v>
      </c>
      <c r="H34" s="38" t="s">
        <v>21</v>
      </c>
    </row>
    <row r="35" spans="1:8" ht="30" x14ac:dyDescent="0.2">
      <c r="A35" s="37">
        <v>4.4000000000000004</v>
      </c>
      <c r="B35" s="35" t="s">
        <v>77</v>
      </c>
      <c r="C35" s="41" t="s">
        <v>97</v>
      </c>
      <c r="D35" s="37" t="s">
        <v>98</v>
      </c>
      <c r="E35" s="37" t="s">
        <v>18</v>
      </c>
      <c r="F35" s="38" t="s">
        <v>88</v>
      </c>
      <c r="G35" s="39" t="s">
        <v>20</v>
      </c>
      <c r="H35" s="38" t="s">
        <v>21</v>
      </c>
    </row>
    <row r="36" spans="1:8" ht="30" x14ac:dyDescent="0.2">
      <c r="A36" s="37">
        <v>4.4000000000000004</v>
      </c>
      <c r="B36" s="35" t="s">
        <v>77</v>
      </c>
      <c r="C36" s="41" t="s">
        <v>99</v>
      </c>
      <c r="D36" s="37" t="s">
        <v>100</v>
      </c>
      <c r="E36" s="37" t="s">
        <v>101</v>
      </c>
      <c r="F36" s="38" t="s">
        <v>19</v>
      </c>
      <c r="G36" s="39" t="s">
        <v>92</v>
      </c>
      <c r="H36" s="38" t="s">
        <v>21</v>
      </c>
    </row>
    <row r="37" spans="1:8" ht="60" x14ac:dyDescent="0.2">
      <c r="A37" s="37">
        <v>4.4000000000000004</v>
      </c>
      <c r="B37" s="35" t="s">
        <v>77</v>
      </c>
      <c r="C37" s="41" t="s">
        <v>102</v>
      </c>
      <c r="D37" s="37" t="s">
        <v>103</v>
      </c>
      <c r="E37" s="37" t="s">
        <v>83</v>
      </c>
      <c r="F37" s="38" t="s">
        <v>19</v>
      </c>
      <c r="G37" s="39" t="s">
        <v>84</v>
      </c>
      <c r="H37" s="38" t="s">
        <v>21</v>
      </c>
    </row>
    <row r="38" spans="1:8" ht="30" x14ac:dyDescent="0.2">
      <c r="A38" s="38">
        <v>5.0999999999999996</v>
      </c>
      <c r="B38" s="35" t="s">
        <v>104</v>
      </c>
      <c r="C38" s="40" t="s">
        <v>105</v>
      </c>
      <c r="D38" s="35" t="s">
        <v>106</v>
      </c>
      <c r="E38" s="37" t="s">
        <v>18</v>
      </c>
      <c r="F38" s="38" t="s">
        <v>4</v>
      </c>
      <c r="G38" s="39" t="s">
        <v>20</v>
      </c>
      <c r="H38" s="38" t="s">
        <v>107</v>
      </c>
    </row>
    <row r="39" spans="1:8" ht="45" x14ac:dyDescent="0.2">
      <c r="A39" s="38">
        <v>5.2</v>
      </c>
      <c r="B39" s="35" t="s">
        <v>108</v>
      </c>
      <c r="C39" s="40" t="s">
        <v>109</v>
      </c>
      <c r="D39" s="35" t="s">
        <v>108</v>
      </c>
      <c r="E39" s="37" t="s">
        <v>18</v>
      </c>
      <c r="F39" s="38" t="s">
        <v>4</v>
      </c>
      <c r="G39" s="39" t="s">
        <v>20</v>
      </c>
      <c r="H39" s="38" t="s">
        <v>107</v>
      </c>
    </row>
    <row r="40" spans="1:8" x14ac:dyDescent="0.2">
      <c r="A40" s="38">
        <v>5.3</v>
      </c>
      <c r="B40" s="35" t="s">
        <v>110</v>
      </c>
      <c r="C40" s="40" t="s">
        <v>111</v>
      </c>
      <c r="D40" s="37" t="s">
        <v>112</v>
      </c>
      <c r="E40" s="37" t="s">
        <v>18</v>
      </c>
      <c r="F40" s="38" t="s">
        <v>113</v>
      </c>
      <c r="G40" s="39" t="s">
        <v>20</v>
      </c>
      <c r="H40" s="38" t="s">
        <v>21</v>
      </c>
    </row>
    <row r="41" spans="1:8" x14ac:dyDescent="0.2">
      <c r="A41" s="38">
        <v>5.3</v>
      </c>
      <c r="B41" s="35" t="s">
        <v>110</v>
      </c>
      <c r="C41" s="40" t="s">
        <v>114</v>
      </c>
      <c r="D41" s="37" t="s">
        <v>115</v>
      </c>
      <c r="E41" s="37" t="s">
        <v>18</v>
      </c>
      <c r="F41" s="38" t="s">
        <v>4</v>
      </c>
      <c r="G41" s="39" t="s">
        <v>20</v>
      </c>
      <c r="H41" s="38" t="s">
        <v>21</v>
      </c>
    </row>
    <row r="42" spans="1:8" x14ac:dyDescent="0.2">
      <c r="A42" s="38">
        <v>5.3</v>
      </c>
      <c r="B42" s="35" t="s">
        <v>110</v>
      </c>
      <c r="C42" s="40" t="s">
        <v>116</v>
      </c>
      <c r="D42" s="37" t="s">
        <v>117</v>
      </c>
      <c r="E42" s="37" t="s">
        <v>18</v>
      </c>
      <c r="F42" s="38" t="s">
        <v>88</v>
      </c>
      <c r="G42" s="39" t="s">
        <v>20</v>
      </c>
      <c r="H42" s="38" t="s">
        <v>21</v>
      </c>
    </row>
    <row r="43" spans="1:8" ht="30" x14ac:dyDescent="0.2">
      <c r="A43" s="38">
        <v>5.3</v>
      </c>
      <c r="B43" s="35" t="s">
        <v>110</v>
      </c>
      <c r="C43" s="40" t="s">
        <v>118</v>
      </c>
      <c r="D43" s="37" t="s">
        <v>119</v>
      </c>
      <c r="E43" s="37" t="s">
        <v>18</v>
      </c>
      <c r="F43" s="38" t="s">
        <v>88</v>
      </c>
      <c r="G43" s="39" t="s">
        <v>20</v>
      </c>
      <c r="H43" s="38" t="s">
        <v>120</v>
      </c>
    </row>
    <row r="44" spans="1:8" ht="60" x14ac:dyDescent="0.2">
      <c r="A44" s="38">
        <v>6.1</v>
      </c>
      <c r="B44" s="35" t="s">
        <v>121</v>
      </c>
      <c r="C44" s="40" t="s">
        <v>122</v>
      </c>
      <c r="D44" s="38" t="s">
        <v>123</v>
      </c>
      <c r="E44" s="38" t="s">
        <v>124</v>
      </c>
      <c r="F44" s="38" t="s">
        <v>19</v>
      </c>
      <c r="G44" s="39" t="s">
        <v>125</v>
      </c>
      <c r="H44" s="38" t="s">
        <v>21</v>
      </c>
    </row>
    <row r="45" spans="1:8" ht="105" x14ac:dyDescent="0.2">
      <c r="A45" s="38">
        <v>6.2</v>
      </c>
      <c r="B45" s="35" t="s">
        <v>126</v>
      </c>
      <c r="C45" s="40" t="s">
        <v>127</v>
      </c>
      <c r="D45" s="38" t="s">
        <v>128</v>
      </c>
      <c r="E45" s="38" t="s">
        <v>129</v>
      </c>
      <c r="F45" s="38" t="s">
        <v>19</v>
      </c>
      <c r="G45" s="39" t="s">
        <v>130</v>
      </c>
      <c r="H45" s="38" t="s">
        <v>21</v>
      </c>
    </row>
    <row r="46" spans="1:8" ht="105" x14ac:dyDescent="0.2">
      <c r="A46" s="38">
        <v>6.2</v>
      </c>
      <c r="B46" s="35" t="s">
        <v>126</v>
      </c>
      <c r="C46" s="40" t="s">
        <v>131</v>
      </c>
      <c r="D46" s="38" t="s">
        <v>132</v>
      </c>
      <c r="E46" s="38" t="s">
        <v>129</v>
      </c>
      <c r="F46" s="38" t="s">
        <v>19</v>
      </c>
      <c r="G46" s="39" t="s">
        <v>130</v>
      </c>
      <c r="H46" s="38" t="s">
        <v>21</v>
      </c>
    </row>
    <row r="47" spans="1:8" ht="105" x14ac:dyDescent="0.2">
      <c r="A47" s="38">
        <v>6.2</v>
      </c>
      <c r="B47" s="35" t="s">
        <v>126</v>
      </c>
      <c r="C47" s="40" t="s">
        <v>133</v>
      </c>
      <c r="D47" s="38" t="s">
        <v>134</v>
      </c>
      <c r="E47" s="38" t="s">
        <v>129</v>
      </c>
      <c r="F47" s="38" t="s">
        <v>19</v>
      </c>
      <c r="G47" s="39" t="s">
        <v>130</v>
      </c>
      <c r="H47" s="38" t="s">
        <v>21</v>
      </c>
    </row>
    <row r="48" spans="1:8" ht="105" x14ac:dyDescent="0.2">
      <c r="A48" s="38">
        <v>6.2</v>
      </c>
      <c r="B48" s="35" t="s">
        <v>126</v>
      </c>
      <c r="C48" s="40" t="s">
        <v>135</v>
      </c>
      <c r="D48" s="38" t="s">
        <v>136</v>
      </c>
      <c r="E48" s="38" t="s">
        <v>129</v>
      </c>
      <c r="F48" s="38" t="s">
        <v>19</v>
      </c>
      <c r="G48" s="39" t="s">
        <v>130</v>
      </c>
      <c r="H48" s="38" t="s">
        <v>21</v>
      </c>
    </row>
    <row r="49" spans="1:8" ht="105" x14ac:dyDescent="0.2">
      <c r="A49" s="38">
        <v>6.2</v>
      </c>
      <c r="B49" s="35" t="s">
        <v>126</v>
      </c>
      <c r="C49" s="40" t="s">
        <v>137</v>
      </c>
      <c r="D49" s="38" t="s">
        <v>138</v>
      </c>
      <c r="E49" s="38" t="s">
        <v>129</v>
      </c>
      <c r="F49" s="38" t="s">
        <v>19</v>
      </c>
      <c r="G49" s="39" t="s">
        <v>130</v>
      </c>
      <c r="H49" s="38" t="s">
        <v>21</v>
      </c>
    </row>
    <row r="50" spans="1:8" ht="105" x14ac:dyDescent="0.2">
      <c r="A50" s="38">
        <v>6.2</v>
      </c>
      <c r="B50" s="35" t="s">
        <v>126</v>
      </c>
      <c r="C50" s="40" t="s">
        <v>139</v>
      </c>
      <c r="D50" s="38" t="s">
        <v>140</v>
      </c>
      <c r="E50" s="38" t="s">
        <v>129</v>
      </c>
      <c r="F50" s="38" t="s">
        <v>19</v>
      </c>
      <c r="G50" s="39" t="s">
        <v>130</v>
      </c>
      <c r="H50" s="38" t="s">
        <v>21</v>
      </c>
    </row>
    <row r="51" spans="1:8" ht="105" x14ac:dyDescent="0.2">
      <c r="A51" s="38">
        <v>6.2</v>
      </c>
      <c r="B51" s="35" t="s">
        <v>126</v>
      </c>
      <c r="C51" s="40" t="s">
        <v>141</v>
      </c>
      <c r="D51" s="38" t="s">
        <v>142</v>
      </c>
      <c r="E51" s="38" t="s">
        <v>129</v>
      </c>
      <c r="F51" s="38" t="s">
        <v>19</v>
      </c>
      <c r="G51" s="39" t="s">
        <v>130</v>
      </c>
      <c r="H51" s="38" t="s">
        <v>21</v>
      </c>
    </row>
    <row r="52" spans="1:8" ht="105" x14ac:dyDescent="0.2">
      <c r="A52" s="38">
        <v>6.2</v>
      </c>
      <c r="B52" s="35" t="s">
        <v>126</v>
      </c>
      <c r="C52" s="40" t="s">
        <v>143</v>
      </c>
      <c r="D52" s="38" t="s">
        <v>144</v>
      </c>
      <c r="E52" s="38" t="s">
        <v>129</v>
      </c>
      <c r="F52" s="38" t="s">
        <v>19</v>
      </c>
      <c r="G52" s="39" t="s">
        <v>130</v>
      </c>
      <c r="H52" s="38" t="s">
        <v>21</v>
      </c>
    </row>
    <row r="53" spans="1:8" ht="105" x14ac:dyDescent="0.2">
      <c r="A53" s="38">
        <v>6.2</v>
      </c>
      <c r="B53" s="35" t="s">
        <v>126</v>
      </c>
      <c r="C53" s="40" t="s">
        <v>145</v>
      </c>
      <c r="D53" s="38" t="s">
        <v>146</v>
      </c>
      <c r="E53" s="38" t="s">
        <v>129</v>
      </c>
      <c r="F53" s="38" t="s">
        <v>19</v>
      </c>
      <c r="G53" s="39" t="s">
        <v>130</v>
      </c>
      <c r="H53" s="38" t="s">
        <v>21</v>
      </c>
    </row>
    <row r="54" spans="1:8" ht="105" x14ac:dyDescent="0.2">
      <c r="A54" s="38">
        <v>6.2</v>
      </c>
      <c r="B54" s="35" t="s">
        <v>126</v>
      </c>
      <c r="C54" s="40" t="s">
        <v>147</v>
      </c>
      <c r="D54" s="38" t="s">
        <v>148</v>
      </c>
      <c r="E54" s="38" t="s">
        <v>129</v>
      </c>
      <c r="F54" s="38" t="s">
        <v>19</v>
      </c>
      <c r="G54" s="39" t="s">
        <v>130</v>
      </c>
      <c r="H54" s="38" t="s">
        <v>21</v>
      </c>
    </row>
    <row r="55" spans="1:8" ht="105" x14ac:dyDescent="0.2">
      <c r="A55" s="38">
        <v>6.2</v>
      </c>
      <c r="B55" s="35" t="s">
        <v>126</v>
      </c>
      <c r="C55" s="40" t="s">
        <v>149</v>
      </c>
      <c r="D55" s="38" t="s">
        <v>150</v>
      </c>
      <c r="E55" s="38" t="s">
        <v>129</v>
      </c>
      <c r="F55" s="38" t="s">
        <v>19</v>
      </c>
      <c r="G55" s="39" t="s">
        <v>130</v>
      </c>
      <c r="H55" s="38" t="s">
        <v>21</v>
      </c>
    </row>
    <row r="56" spans="1:8" ht="105" x14ac:dyDescent="0.2">
      <c r="A56" s="38">
        <v>6.2</v>
      </c>
      <c r="B56" s="35" t="s">
        <v>126</v>
      </c>
      <c r="C56" s="40" t="s">
        <v>151</v>
      </c>
      <c r="D56" s="38" t="s">
        <v>152</v>
      </c>
      <c r="E56" s="38" t="s">
        <v>129</v>
      </c>
      <c r="F56" s="38" t="s">
        <v>19</v>
      </c>
      <c r="G56" s="39" t="s">
        <v>130</v>
      </c>
      <c r="H56" s="38" t="s">
        <v>21</v>
      </c>
    </row>
    <row r="57" spans="1:8" ht="105" x14ac:dyDescent="0.2">
      <c r="A57" s="38">
        <v>6.2</v>
      </c>
      <c r="B57" s="35" t="s">
        <v>126</v>
      </c>
      <c r="C57" s="40" t="s">
        <v>153</v>
      </c>
      <c r="D57" s="38" t="s">
        <v>154</v>
      </c>
      <c r="E57" s="38" t="s">
        <v>129</v>
      </c>
      <c r="F57" s="38" t="s">
        <v>19</v>
      </c>
      <c r="G57" s="39" t="s">
        <v>130</v>
      </c>
      <c r="H57" s="38" t="s">
        <v>21</v>
      </c>
    </row>
    <row r="58" spans="1:8" ht="105" x14ac:dyDescent="0.2">
      <c r="A58" s="38">
        <v>6.2</v>
      </c>
      <c r="B58" s="35" t="s">
        <v>126</v>
      </c>
      <c r="C58" s="40" t="s">
        <v>155</v>
      </c>
      <c r="D58" s="38" t="s">
        <v>156</v>
      </c>
      <c r="E58" s="38" t="s">
        <v>129</v>
      </c>
      <c r="F58" s="38" t="s">
        <v>19</v>
      </c>
      <c r="G58" s="39" t="s">
        <v>130</v>
      </c>
      <c r="H58" s="38" t="s">
        <v>21</v>
      </c>
    </row>
    <row r="59" spans="1:8" ht="75" x14ac:dyDescent="0.2">
      <c r="A59" s="38">
        <v>6.2</v>
      </c>
      <c r="B59" s="35" t="s">
        <v>126</v>
      </c>
      <c r="C59" s="40" t="s">
        <v>157</v>
      </c>
      <c r="D59" s="38" t="s">
        <v>158</v>
      </c>
      <c r="E59" s="38" t="s">
        <v>159</v>
      </c>
      <c r="F59" s="38" t="s">
        <v>19</v>
      </c>
      <c r="G59" s="39" t="s">
        <v>130</v>
      </c>
      <c r="H59" s="38" t="s">
        <v>21</v>
      </c>
    </row>
    <row r="60" spans="1:8" ht="30" x14ac:dyDescent="0.2">
      <c r="A60" s="38">
        <v>6.3</v>
      </c>
      <c r="B60" s="35" t="s">
        <v>160</v>
      </c>
      <c r="C60" s="40" t="s">
        <v>161</v>
      </c>
      <c r="D60" s="35" t="s">
        <v>162</v>
      </c>
      <c r="E60" s="37" t="s">
        <v>18</v>
      </c>
      <c r="F60" s="38" t="s">
        <v>4</v>
      </c>
      <c r="G60" s="39" t="s">
        <v>20</v>
      </c>
      <c r="H60" s="38" t="s">
        <v>107</v>
      </c>
    </row>
    <row r="61" spans="1:8" ht="60" x14ac:dyDescent="0.2">
      <c r="A61" s="38">
        <v>6.4</v>
      </c>
      <c r="B61" s="35" t="s">
        <v>163</v>
      </c>
      <c r="C61" s="42" t="s">
        <v>164</v>
      </c>
      <c r="D61" s="38" t="s">
        <v>165</v>
      </c>
      <c r="E61" s="35"/>
      <c r="F61" s="38" t="s">
        <v>4</v>
      </c>
      <c r="G61" s="39" t="s">
        <v>20</v>
      </c>
      <c r="H61" s="38" t="s">
        <v>120</v>
      </c>
    </row>
    <row r="62" spans="1:8" ht="60" x14ac:dyDescent="0.2">
      <c r="A62" s="38">
        <v>6.4</v>
      </c>
      <c r="B62" s="35" t="s">
        <v>163</v>
      </c>
      <c r="C62" s="42" t="s">
        <v>166</v>
      </c>
      <c r="D62" s="38" t="s">
        <v>167</v>
      </c>
      <c r="E62" s="35"/>
      <c r="F62" s="35" t="s">
        <v>168</v>
      </c>
      <c r="G62" s="39" t="s">
        <v>20</v>
      </c>
      <c r="H62" s="38" t="s">
        <v>120</v>
      </c>
    </row>
    <row r="63" spans="1:8" ht="60" x14ac:dyDescent="0.2">
      <c r="A63" s="38">
        <v>6.4</v>
      </c>
      <c r="B63" s="35" t="s">
        <v>163</v>
      </c>
      <c r="C63" s="42" t="s">
        <v>169</v>
      </c>
      <c r="D63" s="38" t="s">
        <v>170</v>
      </c>
      <c r="E63" s="35"/>
      <c r="F63" s="38" t="s">
        <v>4</v>
      </c>
      <c r="G63" s="39" t="s">
        <v>20</v>
      </c>
      <c r="H63" s="38" t="s">
        <v>120</v>
      </c>
    </row>
    <row r="64" spans="1:8" ht="60" x14ac:dyDescent="0.2">
      <c r="A64" s="38">
        <v>6.4</v>
      </c>
      <c r="B64" s="35" t="s">
        <v>163</v>
      </c>
      <c r="C64" s="42" t="s">
        <v>171</v>
      </c>
      <c r="D64" s="38" t="s">
        <v>172</v>
      </c>
      <c r="E64" s="35"/>
      <c r="F64" s="35" t="s">
        <v>168</v>
      </c>
      <c r="G64" s="39" t="s">
        <v>20</v>
      </c>
      <c r="H64" s="38" t="s">
        <v>120</v>
      </c>
    </row>
    <row r="65" spans="1:8" ht="60" x14ac:dyDescent="0.2">
      <c r="A65" s="38">
        <v>6.4</v>
      </c>
      <c r="B65" s="35" t="s">
        <v>163</v>
      </c>
      <c r="C65" s="42" t="s">
        <v>173</v>
      </c>
      <c r="D65" s="38" t="s">
        <v>174</v>
      </c>
      <c r="E65" s="35"/>
      <c r="F65" s="38" t="s">
        <v>113</v>
      </c>
      <c r="G65" s="39" t="s">
        <v>20</v>
      </c>
      <c r="H65" s="38" t="s">
        <v>120</v>
      </c>
    </row>
    <row r="66" spans="1:8" ht="60" x14ac:dyDescent="0.2">
      <c r="A66" s="38">
        <v>6.4</v>
      </c>
      <c r="B66" s="35" t="s">
        <v>163</v>
      </c>
      <c r="C66" s="42" t="s">
        <v>175</v>
      </c>
      <c r="D66" s="38" t="s">
        <v>176</v>
      </c>
      <c r="E66" s="35"/>
      <c r="F66" s="35" t="s">
        <v>168</v>
      </c>
      <c r="G66" s="39" t="s">
        <v>20</v>
      </c>
      <c r="H66" s="38" t="s">
        <v>120</v>
      </c>
    </row>
    <row r="67" spans="1:8" ht="60" x14ac:dyDescent="0.2">
      <c r="A67" s="38">
        <v>6.4</v>
      </c>
      <c r="B67" s="35" t="s">
        <v>163</v>
      </c>
      <c r="C67" s="42" t="s">
        <v>177</v>
      </c>
      <c r="D67" s="38" t="s">
        <v>178</v>
      </c>
      <c r="E67" s="35"/>
      <c r="F67" s="38" t="s">
        <v>4</v>
      </c>
      <c r="G67" s="39" t="s">
        <v>20</v>
      </c>
      <c r="H67" s="38" t="s">
        <v>120</v>
      </c>
    </row>
    <row r="68" spans="1:8" ht="60" x14ac:dyDescent="0.2">
      <c r="A68" s="38">
        <v>6.4</v>
      </c>
      <c r="B68" s="35" t="s">
        <v>163</v>
      </c>
      <c r="C68" s="42" t="s">
        <v>179</v>
      </c>
      <c r="D68" s="38" t="s">
        <v>180</v>
      </c>
      <c r="E68" s="35"/>
      <c r="F68" s="35" t="s">
        <v>168</v>
      </c>
      <c r="G68" s="39" t="s">
        <v>20</v>
      </c>
      <c r="H68" s="38" t="s">
        <v>120</v>
      </c>
    </row>
    <row r="69" spans="1:8" ht="60" x14ac:dyDescent="0.2">
      <c r="A69" s="38">
        <v>6.4</v>
      </c>
      <c r="B69" s="35" t="s">
        <v>163</v>
      </c>
      <c r="C69" s="42" t="s">
        <v>181</v>
      </c>
      <c r="D69" s="38" t="s">
        <v>182</v>
      </c>
      <c r="E69" s="35"/>
      <c r="F69" s="38" t="s">
        <v>4</v>
      </c>
      <c r="G69" s="39" t="s">
        <v>20</v>
      </c>
      <c r="H69" s="38" t="s">
        <v>120</v>
      </c>
    </row>
    <row r="70" spans="1:8" ht="60" x14ac:dyDescent="0.2">
      <c r="A70" s="38">
        <v>6.4</v>
      </c>
      <c r="B70" s="35" t="s">
        <v>163</v>
      </c>
      <c r="C70" s="42" t="s">
        <v>183</v>
      </c>
      <c r="D70" s="38" t="s">
        <v>184</v>
      </c>
      <c r="E70" s="35"/>
      <c r="F70" s="35" t="s">
        <v>168</v>
      </c>
      <c r="G70" s="39" t="s">
        <v>20</v>
      </c>
      <c r="H70" s="38" t="s">
        <v>120</v>
      </c>
    </row>
    <row r="71" spans="1:8" ht="60" x14ac:dyDescent="0.2">
      <c r="A71" s="38">
        <v>6.4</v>
      </c>
      <c r="B71" s="35" t="s">
        <v>163</v>
      </c>
      <c r="C71" s="42" t="s">
        <v>185</v>
      </c>
      <c r="D71" s="38" t="s">
        <v>186</v>
      </c>
      <c r="E71" s="35"/>
      <c r="F71" s="38" t="s">
        <v>4</v>
      </c>
      <c r="G71" s="39" t="s">
        <v>20</v>
      </c>
      <c r="H71" s="38" t="s">
        <v>120</v>
      </c>
    </row>
    <row r="72" spans="1:8" ht="60" x14ac:dyDescent="0.2">
      <c r="A72" s="38">
        <v>6.4</v>
      </c>
      <c r="B72" s="35" t="s">
        <v>163</v>
      </c>
      <c r="C72" s="42" t="s">
        <v>187</v>
      </c>
      <c r="D72" s="38" t="s">
        <v>188</v>
      </c>
      <c r="E72" s="35"/>
      <c r="F72" s="35" t="s">
        <v>168</v>
      </c>
      <c r="G72" s="39" t="s">
        <v>20</v>
      </c>
      <c r="H72" s="38" t="s">
        <v>120</v>
      </c>
    </row>
    <row r="73" spans="1:8" ht="60" x14ac:dyDescent="0.2">
      <c r="A73" s="38">
        <v>6.4</v>
      </c>
      <c r="B73" s="35" t="s">
        <v>163</v>
      </c>
      <c r="C73" s="42" t="s">
        <v>189</v>
      </c>
      <c r="D73" s="39" t="s">
        <v>190</v>
      </c>
      <c r="E73" s="35"/>
      <c r="F73" s="38" t="s">
        <v>4</v>
      </c>
      <c r="G73" s="39" t="s">
        <v>20</v>
      </c>
      <c r="H73" s="38" t="s">
        <v>120</v>
      </c>
    </row>
    <row r="74" spans="1:8" ht="60" x14ac:dyDescent="0.2">
      <c r="A74" s="38">
        <v>6.4</v>
      </c>
      <c r="B74" s="35" t="s">
        <v>163</v>
      </c>
      <c r="C74" s="42" t="s">
        <v>191</v>
      </c>
      <c r="D74" s="38" t="s">
        <v>192</v>
      </c>
      <c r="E74" s="35"/>
      <c r="F74" s="38" t="s">
        <v>4</v>
      </c>
      <c r="G74" s="39" t="s">
        <v>20</v>
      </c>
      <c r="H74" s="38" t="s">
        <v>21</v>
      </c>
    </row>
    <row r="75" spans="1:8" ht="60" x14ac:dyDescent="0.2">
      <c r="A75" s="38">
        <v>6.4</v>
      </c>
      <c r="B75" s="35" t="s">
        <v>163</v>
      </c>
      <c r="C75" s="42" t="s">
        <v>193</v>
      </c>
      <c r="D75" s="38" t="s">
        <v>194</v>
      </c>
      <c r="E75" s="35"/>
      <c r="F75" s="35" t="s">
        <v>168</v>
      </c>
      <c r="G75" s="39" t="s">
        <v>20</v>
      </c>
      <c r="H75" s="38" t="s">
        <v>120</v>
      </c>
    </row>
    <row r="76" spans="1:8" ht="45" x14ac:dyDescent="0.2">
      <c r="A76" s="38">
        <v>6.5</v>
      </c>
      <c r="B76" s="35" t="s">
        <v>195</v>
      </c>
      <c r="C76" s="40" t="s">
        <v>196</v>
      </c>
      <c r="D76" s="37" t="s">
        <v>197</v>
      </c>
      <c r="E76" s="37" t="s">
        <v>18</v>
      </c>
      <c r="F76" s="38" t="s">
        <v>88</v>
      </c>
      <c r="G76" s="39" t="s">
        <v>20</v>
      </c>
      <c r="H76" s="38" t="s">
        <v>85</v>
      </c>
    </row>
    <row r="77" spans="1:8" ht="30" x14ac:dyDescent="0.2">
      <c r="A77" s="38">
        <v>6.5</v>
      </c>
      <c r="B77" s="35" t="s">
        <v>198</v>
      </c>
      <c r="C77" s="40" t="s">
        <v>199</v>
      </c>
      <c r="D77" s="37" t="s">
        <v>200</v>
      </c>
      <c r="E77" s="37" t="s">
        <v>18</v>
      </c>
      <c r="F77" s="38" t="s">
        <v>4</v>
      </c>
      <c r="G77" s="39" t="s">
        <v>20</v>
      </c>
      <c r="H77" s="38" t="s">
        <v>85</v>
      </c>
    </row>
    <row r="78" spans="1:8" ht="30" x14ac:dyDescent="0.2">
      <c r="A78" s="38">
        <v>6.5</v>
      </c>
      <c r="B78" s="35" t="s">
        <v>198</v>
      </c>
      <c r="C78" s="40" t="s">
        <v>201</v>
      </c>
      <c r="D78" s="37" t="s">
        <v>202</v>
      </c>
      <c r="E78" s="37" t="s">
        <v>18</v>
      </c>
      <c r="F78" s="38" t="s">
        <v>4</v>
      </c>
      <c r="G78" s="39" t="s">
        <v>20</v>
      </c>
      <c r="H78" s="38" t="s">
        <v>85</v>
      </c>
    </row>
    <row r="79" spans="1:8" ht="45" x14ac:dyDescent="0.2">
      <c r="A79" s="38">
        <v>6.5</v>
      </c>
      <c r="B79" s="35" t="s">
        <v>195</v>
      </c>
      <c r="C79" s="40" t="s">
        <v>203</v>
      </c>
      <c r="D79" s="37" t="s">
        <v>204</v>
      </c>
      <c r="E79" s="37" t="s">
        <v>18</v>
      </c>
      <c r="F79" s="38" t="s">
        <v>88</v>
      </c>
      <c r="G79" s="39" t="s">
        <v>20</v>
      </c>
      <c r="H79" s="38" t="s">
        <v>85</v>
      </c>
    </row>
    <row r="80" spans="1:8" ht="45" x14ac:dyDescent="0.2">
      <c r="A80" s="38">
        <v>6.5</v>
      </c>
      <c r="B80" s="35" t="s">
        <v>195</v>
      </c>
      <c r="C80" s="40" t="s">
        <v>205</v>
      </c>
      <c r="D80" s="37" t="s">
        <v>206</v>
      </c>
      <c r="E80" s="37" t="s">
        <v>18</v>
      </c>
      <c r="F80" s="38" t="s">
        <v>113</v>
      </c>
      <c r="G80" s="39" t="s">
        <v>20</v>
      </c>
      <c r="H80" s="38" t="s">
        <v>85</v>
      </c>
    </row>
    <row r="81" spans="1:8" ht="75" x14ac:dyDescent="0.2">
      <c r="A81" s="38">
        <v>6.5</v>
      </c>
      <c r="B81" s="35" t="s">
        <v>195</v>
      </c>
      <c r="C81" s="40" t="s">
        <v>207</v>
      </c>
      <c r="D81" s="37" t="s">
        <v>208</v>
      </c>
      <c r="E81" s="37" t="s">
        <v>18</v>
      </c>
      <c r="F81" s="38" t="s">
        <v>19</v>
      </c>
      <c r="G81" s="39" t="s">
        <v>20</v>
      </c>
      <c r="H81" s="38" t="s">
        <v>209</v>
      </c>
    </row>
    <row r="82" spans="1:8" ht="45" x14ac:dyDescent="0.2">
      <c r="A82" s="38">
        <v>6.5</v>
      </c>
      <c r="B82" s="35" t="s">
        <v>195</v>
      </c>
      <c r="C82" s="40" t="s">
        <v>210</v>
      </c>
      <c r="D82" s="37" t="s">
        <v>211</v>
      </c>
      <c r="E82" s="37" t="s">
        <v>18</v>
      </c>
      <c r="F82" s="38" t="s">
        <v>19</v>
      </c>
      <c r="G82" s="39" t="s">
        <v>20</v>
      </c>
      <c r="H82" s="38" t="s">
        <v>85</v>
      </c>
    </row>
    <row r="83" spans="1:8" ht="30" x14ac:dyDescent="0.2">
      <c r="A83" s="38">
        <v>6.6</v>
      </c>
      <c r="B83" s="35" t="s">
        <v>212</v>
      </c>
      <c r="C83" s="40" t="s">
        <v>213</v>
      </c>
      <c r="D83" s="37" t="s">
        <v>212</v>
      </c>
      <c r="E83" s="37" t="s">
        <v>18</v>
      </c>
      <c r="F83" s="38" t="s">
        <v>19</v>
      </c>
      <c r="G83" s="39" t="s">
        <v>20</v>
      </c>
      <c r="H83" s="38" t="s">
        <v>120</v>
      </c>
    </row>
    <row r="84" spans="1:8" ht="30" x14ac:dyDescent="0.2">
      <c r="A84" s="38">
        <v>6.7</v>
      </c>
      <c r="B84" s="35" t="s">
        <v>214</v>
      </c>
      <c r="C84" s="40" t="s">
        <v>215</v>
      </c>
      <c r="D84" s="37" t="s">
        <v>214</v>
      </c>
      <c r="E84" s="37" t="s">
        <v>18</v>
      </c>
      <c r="F84" s="38" t="s">
        <v>19</v>
      </c>
      <c r="G84" s="39" t="s">
        <v>20</v>
      </c>
      <c r="H84" s="38" t="s">
        <v>120</v>
      </c>
    </row>
    <row r="85" spans="1:8" ht="30" x14ac:dyDescent="0.2">
      <c r="A85" s="38">
        <v>6.8</v>
      </c>
      <c r="B85" s="35" t="s">
        <v>216</v>
      </c>
      <c r="C85" s="40" t="s">
        <v>217</v>
      </c>
      <c r="D85" s="38" t="s">
        <v>216</v>
      </c>
      <c r="E85" s="37" t="s">
        <v>18</v>
      </c>
      <c r="F85" s="38" t="s">
        <v>19</v>
      </c>
      <c r="G85" s="39" t="s">
        <v>20</v>
      </c>
      <c r="H85" s="38" t="s">
        <v>120</v>
      </c>
    </row>
    <row r="86" spans="1:8" x14ac:dyDescent="0.2">
      <c r="A86" s="38">
        <v>7.1</v>
      </c>
      <c r="B86" s="35" t="s">
        <v>218</v>
      </c>
      <c r="C86" s="40" t="s">
        <v>219</v>
      </c>
      <c r="D86" s="37" t="s">
        <v>220</v>
      </c>
      <c r="E86" s="37" t="s">
        <v>18</v>
      </c>
      <c r="F86" s="38" t="s">
        <v>4</v>
      </c>
      <c r="G86" s="39" t="s">
        <v>20</v>
      </c>
      <c r="H86" s="38" t="s">
        <v>21</v>
      </c>
    </row>
    <row r="87" spans="1:8" ht="30" x14ac:dyDescent="0.2">
      <c r="A87" s="38">
        <v>7.1</v>
      </c>
      <c r="B87" s="35" t="s">
        <v>218</v>
      </c>
      <c r="C87" s="40" t="s">
        <v>221</v>
      </c>
      <c r="D87" s="38" t="s">
        <v>222</v>
      </c>
      <c r="E87" s="38" t="s">
        <v>223</v>
      </c>
      <c r="F87" s="38" t="s">
        <v>19</v>
      </c>
      <c r="G87" s="39" t="s">
        <v>224</v>
      </c>
      <c r="H87" s="38" t="s">
        <v>21</v>
      </c>
    </row>
    <row r="88" spans="1:8" ht="30" x14ac:dyDescent="0.2">
      <c r="A88" s="38">
        <v>7.1</v>
      </c>
      <c r="B88" s="35" t="s">
        <v>218</v>
      </c>
      <c r="C88" s="40" t="s">
        <v>225</v>
      </c>
      <c r="D88" s="38" t="s">
        <v>226</v>
      </c>
      <c r="E88" s="38" t="s">
        <v>223</v>
      </c>
      <c r="F88" s="38" t="s">
        <v>19</v>
      </c>
      <c r="G88" s="39" t="s">
        <v>224</v>
      </c>
      <c r="H88" s="38" t="s">
        <v>21</v>
      </c>
    </row>
    <row r="89" spans="1:8" ht="30" x14ac:dyDescent="0.2">
      <c r="A89" s="38">
        <v>7.1</v>
      </c>
      <c r="B89" s="35" t="s">
        <v>218</v>
      </c>
      <c r="C89" s="40" t="s">
        <v>227</v>
      </c>
      <c r="D89" s="38" t="s">
        <v>228</v>
      </c>
      <c r="E89" s="38" t="s">
        <v>223</v>
      </c>
      <c r="F89" s="38" t="s">
        <v>19</v>
      </c>
      <c r="G89" s="39" t="s">
        <v>224</v>
      </c>
      <c r="H89" s="38" t="s">
        <v>21</v>
      </c>
    </row>
    <row r="90" spans="1:8" ht="30" x14ac:dyDescent="0.2">
      <c r="A90" s="38">
        <v>7.1</v>
      </c>
      <c r="B90" s="35" t="s">
        <v>218</v>
      </c>
      <c r="C90" s="40" t="s">
        <v>229</v>
      </c>
      <c r="D90" s="38" t="s">
        <v>230</v>
      </c>
      <c r="E90" s="38" t="s">
        <v>223</v>
      </c>
      <c r="F90" s="38" t="s">
        <v>19</v>
      </c>
      <c r="G90" s="39" t="s">
        <v>224</v>
      </c>
      <c r="H90" s="38" t="s">
        <v>21</v>
      </c>
    </row>
    <row r="91" spans="1:8" ht="45" x14ac:dyDescent="0.2">
      <c r="A91" s="38">
        <v>7.1</v>
      </c>
      <c r="B91" s="35" t="s">
        <v>218</v>
      </c>
      <c r="C91" s="40" t="s">
        <v>231</v>
      </c>
      <c r="D91" s="38" t="s">
        <v>232</v>
      </c>
      <c r="E91" s="38" t="s">
        <v>223</v>
      </c>
      <c r="F91" s="38" t="s">
        <v>19</v>
      </c>
      <c r="G91" s="39" t="s">
        <v>224</v>
      </c>
      <c r="H91" s="38" t="s">
        <v>21</v>
      </c>
    </row>
    <row r="92" spans="1:8" ht="30" x14ac:dyDescent="0.2">
      <c r="A92" s="38">
        <v>7.1</v>
      </c>
      <c r="B92" s="35" t="s">
        <v>218</v>
      </c>
      <c r="C92" s="40" t="s">
        <v>233</v>
      </c>
      <c r="D92" s="38" t="s">
        <v>234</v>
      </c>
      <c r="E92" s="38" t="s">
        <v>223</v>
      </c>
      <c r="F92" s="38" t="s">
        <v>19</v>
      </c>
      <c r="G92" s="39" t="s">
        <v>224</v>
      </c>
      <c r="H92" s="38" t="s">
        <v>21</v>
      </c>
    </row>
    <row r="93" spans="1:8" ht="45" x14ac:dyDescent="0.2">
      <c r="A93" s="38">
        <v>7.1</v>
      </c>
      <c r="B93" s="35" t="s">
        <v>218</v>
      </c>
      <c r="C93" s="40" t="s">
        <v>235</v>
      </c>
      <c r="D93" s="38" t="s">
        <v>236</v>
      </c>
      <c r="E93" s="38" t="s">
        <v>223</v>
      </c>
      <c r="F93" s="38" t="s">
        <v>19</v>
      </c>
      <c r="G93" s="39" t="s">
        <v>224</v>
      </c>
      <c r="H93" s="38" t="s">
        <v>21</v>
      </c>
    </row>
    <row r="94" spans="1:8" ht="30" x14ac:dyDescent="0.2">
      <c r="A94" s="38">
        <v>7.1</v>
      </c>
      <c r="B94" s="35" t="s">
        <v>218</v>
      </c>
      <c r="C94" s="40" t="s">
        <v>237</v>
      </c>
      <c r="D94" s="38" t="s">
        <v>238</v>
      </c>
      <c r="E94" s="38" t="s">
        <v>223</v>
      </c>
      <c r="F94" s="38" t="s">
        <v>19</v>
      </c>
      <c r="G94" s="39" t="s">
        <v>224</v>
      </c>
      <c r="H94" s="38" t="s">
        <v>21</v>
      </c>
    </row>
    <row r="95" spans="1:8" x14ac:dyDescent="0.2">
      <c r="A95" s="38">
        <v>7.1</v>
      </c>
      <c r="B95" s="35" t="s">
        <v>218</v>
      </c>
      <c r="C95" s="40" t="s">
        <v>239</v>
      </c>
      <c r="D95" s="37" t="s">
        <v>240</v>
      </c>
      <c r="E95" s="37" t="s">
        <v>18</v>
      </c>
      <c r="F95" s="38" t="s">
        <v>4</v>
      </c>
      <c r="G95" s="39" t="s">
        <v>20</v>
      </c>
      <c r="H95" s="38" t="s">
        <v>120</v>
      </c>
    </row>
    <row r="96" spans="1:8" ht="30" x14ac:dyDescent="0.2">
      <c r="A96" s="38">
        <v>7.1</v>
      </c>
      <c r="B96" s="35" t="s">
        <v>218</v>
      </c>
      <c r="C96" s="40" t="s">
        <v>241</v>
      </c>
      <c r="D96" s="37" t="s">
        <v>242</v>
      </c>
      <c r="E96" s="37" t="s">
        <v>18</v>
      </c>
      <c r="F96" s="38" t="s">
        <v>4</v>
      </c>
      <c r="G96" s="39" t="s">
        <v>20</v>
      </c>
      <c r="H96" s="38" t="s">
        <v>21</v>
      </c>
    </row>
    <row r="97" spans="1:8" ht="45" x14ac:dyDescent="0.2">
      <c r="A97" s="38">
        <v>7.2</v>
      </c>
      <c r="B97" s="35" t="s">
        <v>243</v>
      </c>
      <c r="C97" s="40" t="s">
        <v>244</v>
      </c>
      <c r="D97" s="37" t="s">
        <v>245</v>
      </c>
      <c r="E97" s="37" t="s">
        <v>18</v>
      </c>
      <c r="F97" s="38" t="s">
        <v>19</v>
      </c>
      <c r="G97" s="39" t="s">
        <v>20</v>
      </c>
      <c r="H97" s="38" t="s">
        <v>21</v>
      </c>
    </row>
    <row r="98" spans="1:8" ht="60" x14ac:dyDescent="0.2">
      <c r="A98" s="38">
        <v>7.3</v>
      </c>
      <c r="B98" s="35" t="s">
        <v>218</v>
      </c>
      <c r="C98" s="40" t="s">
        <v>246</v>
      </c>
      <c r="D98" s="38" t="s">
        <v>247</v>
      </c>
      <c r="E98" s="38" t="s">
        <v>248</v>
      </c>
      <c r="F98" s="38" t="s">
        <v>19</v>
      </c>
      <c r="G98" s="39" t="s">
        <v>249</v>
      </c>
      <c r="H98" s="38" t="s">
        <v>120</v>
      </c>
    </row>
    <row r="99" spans="1:8" ht="45" x14ac:dyDescent="0.2">
      <c r="A99" s="38">
        <v>7.3</v>
      </c>
      <c r="B99" s="35" t="s">
        <v>218</v>
      </c>
      <c r="C99" s="40" t="s">
        <v>250</v>
      </c>
      <c r="D99" s="38" t="s">
        <v>251</v>
      </c>
      <c r="E99" s="37" t="s">
        <v>18</v>
      </c>
      <c r="F99" s="38" t="s">
        <v>88</v>
      </c>
      <c r="G99" s="39" t="s">
        <v>20</v>
      </c>
      <c r="H99" s="38" t="s">
        <v>120</v>
      </c>
    </row>
    <row r="100" spans="1:8" ht="45" x14ac:dyDescent="0.2">
      <c r="A100" s="38">
        <v>7.3</v>
      </c>
      <c r="B100" s="35" t="s">
        <v>218</v>
      </c>
      <c r="C100" s="40" t="s">
        <v>252</v>
      </c>
      <c r="D100" s="38" t="s">
        <v>253</v>
      </c>
      <c r="E100" s="38" t="s">
        <v>101</v>
      </c>
      <c r="F100" s="38" t="s">
        <v>19</v>
      </c>
      <c r="G100" s="39" t="s">
        <v>254</v>
      </c>
      <c r="H100" s="38" t="s">
        <v>120</v>
      </c>
    </row>
    <row r="101" spans="1:8" ht="60" x14ac:dyDescent="0.2">
      <c r="A101" s="38">
        <v>7.3</v>
      </c>
      <c r="B101" s="35" t="s">
        <v>218</v>
      </c>
      <c r="C101" s="40" t="s">
        <v>255</v>
      </c>
      <c r="D101" s="38" t="s">
        <v>256</v>
      </c>
      <c r="E101" s="38" t="s">
        <v>248</v>
      </c>
      <c r="F101" s="38" t="s">
        <v>19</v>
      </c>
      <c r="G101" s="39" t="s">
        <v>249</v>
      </c>
      <c r="H101" s="38" t="s">
        <v>120</v>
      </c>
    </row>
    <row r="102" spans="1:8" ht="60" x14ac:dyDescent="0.2">
      <c r="A102" s="38">
        <v>7.3</v>
      </c>
      <c r="B102" s="35" t="s">
        <v>218</v>
      </c>
      <c r="C102" s="40" t="s">
        <v>257</v>
      </c>
      <c r="D102" s="38" t="s">
        <v>258</v>
      </c>
      <c r="E102" s="38" t="s">
        <v>248</v>
      </c>
      <c r="F102" s="38" t="s">
        <v>19</v>
      </c>
      <c r="G102" s="39" t="s">
        <v>249</v>
      </c>
      <c r="H102" s="38" t="s">
        <v>120</v>
      </c>
    </row>
    <row r="103" spans="1:8" ht="45" x14ac:dyDescent="0.2">
      <c r="A103" s="38">
        <v>7.3</v>
      </c>
      <c r="B103" s="35" t="s">
        <v>218</v>
      </c>
      <c r="C103" s="40" t="s">
        <v>259</v>
      </c>
      <c r="D103" s="38" t="s">
        <v>260</v>
      </c>
      <c r="E103" s="38" t="s">
        <v>261</v>
      </c>
      <c r="F103" s="38" t="s">
        <v>88</v>
      </c>
      <c r="G103" s="39" t="s">
        <v>262</v>
      </c>
      <c r="H103" s="38" t="s">
        <v>120</v>
      </c>
    </row>
    <row r="104" spans="1:8" ht="45" x14ac:dyDescent="0.2">
      <c r="A104" s="38">
        <v>7.3</v>
      </c>
      <c r="B104" s="35" t="s">
        <v>218</v>
      </c>
      <c r="C104" s="40" t="s">
        <v>263</v>
      </c>
      <c r="D104" s="38" t="s">
        <v>264</v>
      </c>
      <c r="E104" s="38" t="s">
        <v>101</v>
      </c>
      <c r="F104" s="38" t="s">
        <v>19</v>
      </c>
      <c r="G104" s="39" t="s">
        <v>254</v>
      </c>
      <c r="H104" s="38" t="s">
        <v>120</v>
      </c>
    </row>
    <row r="105" spans="1:8" ht="30" x14ac:dyDescent="0.2">
      <c r="A105" s="38">
        <v>12.1</v>
      </c>
      <c r="B105" s="35" t="s">
        <v>265</v>
      </c>
      <c r="C105" s="40" t="s">
        <v>266</v>
      </c>
      <c r="D105" s="37" t="s">
        <v>267</v>
      </c>
      <c r="E105" s="37" t="s">
        <v>18</v>
      </c>
      <c r="F105" s="38" t="s">
        <v>113</v>
      </c>
      <c r="G105" s="39" t="s">
        <v>20</v>
      </c>
      <c r="H105" s="38" t="s">
        <v>120</v>
      </c>
    </row>
    <row r="106" spans="1:8" ht="30" x14ac:dyDescent="0.2">
      <c r="A106" s="38">
        <v>12.1</v>
      </c>
      <c r="B106" s="35" t="s">
        <v>265</v>
      </c>
      <c r="C106" s="40" t="s">
        <v>268</v>
      </c>
      <c r="D106" s="37" t="s">
        <v>269</v>
      </c>
      <c r="E106" s="37" t="s">
        <v>18</v>
      </c>
      <c r="F106" s="38" t="s">
        <v>113</v>
      </c>
      <c r="G106" s="39" t="s">
        <v>20</v>
      </c>
      <c r="H106" s="38" t="s">
        <v>120</v>
      </c>
    </row>
    <row r="107" spans="1:8" ht="30" x14ac:dyDescent="0.2">
      <c r="A107" s="38">
        <v>12.1</v>
      </c>
      <c r="B107" s="35" t="s">
        <v>265</v>
      </c>
      <c r="C107" s="40" t="s">
        <v>270</v>
      </c>
      <c r="D107" s="37" t="s">
        <v>271</v>
      </c>
      <c r="E107" s="37" t="s">
        <v>18</v>
      </c>
      <c r="F107" s="38" t="s">
        <v>113</v>
      </c>
      <c r="G107" s="39" t="s">
        <v>20</v>
      </c>
      <c r="H107" s="38" t="s">
        <v>120</v>
      </c>
    </row>
    <row r="108" spans="1:8" ht="30" x14ac:dyDescent="0.2">
      <c r="A108" s="38">
        <v>12.2</v>
      </c>
      <c r="B108" s="35" t="s">
        <v>272</v>
      </c>
      <c r="C108" s="40" t="s">
        <v>273</v>
      </c>
      <c r="D108" s="37" t="s">
        <v>274</v>
      </c>
      <c r="E108" s="37" t="s">
        <v>18</v>
      </c>
      <c r="F108" s="38" t="s">
        <v>113</v>
      </c>
      <c r="G108" s="39" t="s">
        <v>20</v>
      </c>
      <c r="H108" s="38" t="s">
        <v>120</v>
      </c>
    </row>
    <row r="109" spans="1:8" ht="30" x14ac:dyDescent="0.2">
      <c r="A109" s="38">
        <v>12.2</v>
      </c>
      <c r="B109" s="35" t="s">
        <v>272</v>
      </c>
      <c r="C109" s="40" t="s">
        <v>275</v>
      </c>
      <c r="D109" s="37" t="s">
        <v>276</v>
      </c>
      <c r="E109" s="37" t="s">
        <v>18</v>
      </c>
      <c r="F109" s="38" t="s">
        <v>113</v>
      </c>
      <c r="G109" s="39" t="s">
        <v>20</v>
      </c>
      <c r="H109" s="38" t="s">
        <v>120</v>
      </c>
    </row>
    <row r="110" spans="1:8" ht="30" x14ac:dyDescent="0.2">
      <c r="A110" s="38">
        <v>12.2</v>
      </c>
      <c r="B110" s="35" t="s">
        <v>272</v>
      </c>
      <c r="C110" s="40" t="s">
        <v>277</v>
      </c>
      <c r="D110" s="37" t="s">
        <v>278</v>
      </c>
      <c r="E110" s="37" t="s">
        <v>18</v>
      </c>
      <c r="F110" s="38" t="s">
        <v>113</v>
      </c>
      <c r="G110" s="39" t="s">
        <v>20</v>
      </c>
      <c r="H110" s="38" t="s">
        <v>120</v>
      </c>
    </row>
    <row r="111" spans="1:8" x14ac:dyDescent="0.2">
      <c r="A111" s="38">
        <v>13.1</v>
      </c>
      <c r="B111" s="35" t="s">
        <v>279</v>
      </c>
      <c r="C111" s="40" t="s">
        <v>280</v>
      </c>
      <c r="D111" s="38" t="s">
        <v>281</v>
      </c>
      <c r="E111" s="37" t="s">
        <v>18</v>
      </c>
      <c r="F111" s="38" t="s">
        <v>4</v>
      </c>
      <c r="G111" s="39" t="s">
        <v>20</v>
      </c>
      <c r="H111" s="38" t="s">
        <v>282</v>
      </c>
    </row>
    <row r="112" spans="1:8" x14ac:dyDescent="0.2">
      <c r="A112" s="38">
        <v>13.1</v>
      </c>
      <c r="B112" s="35" t="s">
        <v>279</v>
      </c>
      <c r="C112" s="40" t="s">
        <v>283</v>
      </c>
      <c r="D112" s="38" t="s">
        <v>284</v>
      </c>
      <c r="E112" s="37" t="s">
        <v>18</v>
      </c>
      <c r="F112" s="38" t="s">
        <v>4</v>
      </c>
      <c r="G112" s="39" t="s">
        <v>20</v>
      </c>
      <c r="H112" s="38" t="s">
        <v>282</v>
      </c>
    </row>
    <row r="113" spans="1:8" x14ac:dyDescent="0.2">
      <c r="A113" s="38">
        <v>13.1</v>
      </c>
      <c r="B113" s="35" t="s">
        <v>279</v>
      </c>
      <c r="C113" s="40" t="s">
        <v>285</v>
      </c>
      <c r="D113" s="38" t="s">
        <v>286</v>
      </c>
      <c r="E113" s="37" t="s">
        <v>18</v>
      </c>
      <c r="F113" s="38" t="s">
        <v>4</v>
      </c>
      <c r="G113" s="39" t="s">
        <v>20</v>
      </c>
      <c r="H113" s="38" t="s">
        <v>282</v>
      </c>
    </row>
    <row r="114" spans="1:8" x14ac:dyDescent="0.2">
      <c r="A114" s="38">
        <v>13.1</v>
      </c>
      <c r="B114" s="35" t="s">
        <v>279</v>
      </c>
      <c r="C114" s="40" t="s">
        <v>287</v>
      </c>
      <c r="D114" s="38" t="s">
        <v>288</v>
      </c>
      <c r="E114" s="37" t="s">
        <v>289</v>
      </c>
      <c r="F114" s="38" t="s">
        <v>4</v>
      </c>
      <c r="G114" s="39" t="s">
        <v>20</v>
      </c>
      <c r="H114" s="38" t="s">
        <v>107</v>
      </c>
    </row>
    <row r="115" spans="1:8" ht="30" x14ac:dyDescent="0.2">
      <c r="A115" s="38">
        <v>13.1</v>
      </c>
      <c r="B115" s="35" t="s">
        <v>279</v>
      </c>
      <c r="C115" s="40" t="s">
        <v>290</v>
      </c>
      <c r="D115" s="38" t="s">
        <v>291</v>
      </c>
      <c r="E115" s="37" t="s">
        <v>289</v>
      </c>
      <c r="F115" s="38" t="s">
        <v>4</v>
      </c>
      <c r="G115" s="39" t="s">
        <v>20</v>
      </c>
      <c r="H115" s="38" t="s">
        <v>107</v>
      </c>
    </row>
    <row r="116" spans="1:8" ht="45" x14ac:dyDescent="0.2">
      <c r="A116" s="38">
        <v>14.1</v>
      </c>
      <c r="B116" s="35" t="s">
        <v>292</v>
      </c>
      <c r="C116" s="40" t="s">
        <v>293</v>
      </c>
      <c r="D116" s="37" t="s">
        <v>294</v>
      </c>
      <c r="E116" s="37" t="s">
        <v>18</v>
      </c>
      <c r="F116" s="38" t="s">
        <v>113</v>
      </c>
      <c r="G116" s="39" t="s">
        <v>20</v>
      </c>
      <c r="H116" s="38" t="s">
        <v>21</v>
      </c>
    </row>
    <row r="117" spans="1:8" ht="45" x14ac:dyDescent="0.2">
      <c r="A117" s="38">
        <v>14.1</v>
      </c>
      <c r="B117" s="35" t="s">
        <v>292</v>
      </c>
      <c r="C117" s="40" t="s">
        <v>295</v>
      </c>
      <c r="D117" s="37" t="s">
        <v>296</v>
      </c>
      <c r="E117" s="37" t="s">
        <v>18</v>
      </c>
      <c r="F117" s="38" t="s">
        <v>113</v>
      </c>
      <c r="G117" s="39" t="s">
        <v>20</v>
      </c>
      <c r="H117" s="38" t="s">
        <v>21</v>
      </c>
    </row>
    <row r="118" spans="1:8" ht="45" x14ac:dyDescent="0.2">
      <c r="A118" s="38">
        <v>14.1</v>
      </c>
      <c r="B118" s="35" t="s">
        <v>292</v>
      </c>
      <c r="C118" s="40" t="s">
        <v>297</v>
      </c>
      <c r="D118" s="37" t="s">
        <v>298</v>
      </c>
      <c r="E118" s="37" t="s">
        <v>18</v>
      </c>
      <c r="F118" s="38" t="s">
        <v>113</v>
      </c>
      <c r="G118" s="39" t="s">
        <v>20</v>
      </c>
      <c r="H118" s="38" t="s">
        <v>21</v>
      </c>
    </row>
    <row r="119" spans="1:8" ht="45" x14ac:dyDescent="0.2">
      <c r="A119" s="38">
        <v>14.1</v>
      </c>
      <c r="B119" s="35" t="s">
        <v>292</v>
      </c>
      <c r="C119" s="40" t="s">
        <v>299</v>
      </c>
      <c r="D119" s="37" t="s">
        <v>300</v>
      </c>
      <c r="E119" s="37" t="s">
        <v>18</v>
      </c>
      <c r="F119" s="38" t="s">
        <v>113</v>
      </c>
      <c r="G119" s="39" t="s">
        <v>20</v>
      </c>
      <c r="H119" s="38" t="s">
        <v>21</v>
      </c>
    </row>
    <row r="120" spans="1:8" ht="30" x14ac:dyDescent="0.2">
      <c r="A120" s="38">
        <v>15.1</v>
      </c>
      <c r="B120" s="35" t="s">
        <v>301</v>
      </c>
      <c r="C120" s="40" t="s">
        <v>302</v>
      </c>
      <c r="D120" s="37" t="s">
        <v>303</v>
      </c>
      <c r="E120" s="37" t="s">
        <v>18</v>
      </c>
      <c r="F120" s="38" t="s">
        <v>19</v>
      </c>
      <c r="G120" s="39" t="s">
        <v>20</v>
      </c>
      <c r="H120" s="38" t="s">
        <v>304</v>
      </c>
    </row>
    <row r="121" spans="1:8" ht="30" x14ac:dyDescent="0.2">
      <c r="A121" s="38">
        <v>15.1</v>
      </c>
      <c r="B121" s="35" t="s">
        <v>301</v>
      </c>
      <c r="C121" s="40" t="s">
        <v>305</v>
      </c>
      <c r="D121" s="37" t="s">
        <v>306</v>
      </c>
      <c r="E121" s="37" t="s">
        <v>18</v>
      </c>
      <c r="F121" s="38" t="s">
        <v>19</v>
      </c>
      <c r="G121" s="39" t="s">
        <v>20</v>
      </c>
      <c r="H121" s="38" t="s">
        <v>304</v>
      </c>
    </row>
    <row r="122" spans="1:8" ht="30" x14ac:dyDescent="0.2">
      <c r="A122" s="38">
        <v>15.2</v>
      </c>
      <c r="B122" s="35" t="s">
        <v>307</v>
      </c>
      <c r="C122" s="40" t="s">
        <v>308</v>
      </c>
      <c r="D122" s="37" t="s">
        <v>309</v>
      </c>
      <c r="E122" s="37" t="s">
        <v>18</v>
      </c>
      <c r="F122" s="38" t="s">
        <v>19</v>
      </c>
      <c r="G122" s="39" t="s">
        <v>20</v>
      </c>
      <c r="H122" s="38" t="s">
        <v>304</v>
      </c>
    </row>
    <row r="123" spans="1:8" ht="30" x14ac:dyDescent="0.2">
      <c r="A123" s="38">
        <v>15.2</v>
      </c>
      <c r="B123" s="35" t="s">
        <v>307</v>
      </c>
      <c r="C123" s="40" t="s">
        <v>310</v>
      </c>
      <c r="D123" s="37" t="s">
        <v>311</v>
      </c>
      <c r="E123" s="37" t="s">
        <v>18</v>
      </c>
      <c r="F123" s="38" t="s">
        <v>19</v>
      </c>
      <c r="G123" s="39" t="s">
        <v>20</v>
      </c>
      <c r="H123" s="38" t="s">
        <v>304</v>
      </c>
    </row>
    <row r="124" spans="1:8" ht="30" x14ac:dyDescent="0.2">
      <c r="A124" s="38">
        <v>15.2</v>
      </c>
      <c r="B124" s="35" t="s">
        <v>307</v>
      </c>
      <c r="C124" s="40" t="s">
        <v>312</v>
      </c>
      <c r="D124" s="37" t="s">
        <v>313</v>
      </c>
      <c r="E124" s="37" t="s">
        <v>18</v>
      </c>
      <c r="F124" s="38" t="s">
        <v>19</v>
      </c>
      <c r="G124" s="39" t="s">
        <v>20</v>
      </c>
      <c r="H124" s="38" t="s">
        <v>304</v>
      </c>
    </row>
    <row r="125" spans="1:8" ht="30" x14ac:dyDescent="0.2">
      <c r="A125" s="38">
        <v>15.2</v>
      </c>
      <c r="B125" s="35" t="s">
        <v>307</v>
      </c>
      <c r="C125" s="40" t="s">
        <v>314</v>
      </c>
      <c r="D125" s="37" t="s">
        <v>315</v>
      </c>
      <c r="E125" s="37" t="s">
        <v>18</v>
      </c>
      <c r="F125" s="38" t="s">
        <v>19</v>
      </c>
      <c r="G125" s="39" t="s">
        <v>20</v>
      </c>
      <c r="H125" s="38" t="s">
        <v>304</v>
      </c>
    </row>
    <row r="126" spans="1:8" ht="30" x14ac:dyDescent="0.2">
      <c r="A126" s="38">
        <v>15.2</v>
      </c>
      <c r="B126" s="35" t="s">
        <v>307</v>
      </c>
      <c r="C126" s="40" t="s">
        <v>316</v>
      </c>
      <c r="D126" s="37" t="s">
        <v>317</v>
      </c>
      <c r="E126" s="37" t="s">
        <v>18</v>
      </c>
      <c r="F126" s="38" t="s">
        <v>19</v>
      </c>
      <c r="G126" s="39" t="s">
        <v>20</v>
      </c>
      <c r="H126" s="38" t="s">
        <v>304</v>
      </c>
    </row>
    <row r="127" spans="1:8" x14ac:dyDescent="0.2">
      <c r="A127" s="38">
        <v>15.2</v>
      </c>
      <c r="B127" s="35" t="s">
        <v>307</v>
      </c>
      <c r="C127" s="40" t="s">
        <v>318</v>
      </c>
      <c r="D127" s="37" t="s">
        <v>319</v>
      </c>
      <c r="E127" s="37" t="s">
        <v>18</v>
      </c>
      <c r="F127" s="38" t="s">
        <v>4</v>
      </c>
      <c r="G127" s="39" t="s">
        <v>20</v>
      </c>
      <c r="H127" s="38" t="s">
        <v>304</v>
      </c>
    </row>
    <row r="128" spans="1:8" x14ac:dyDescent="0.2">
      <c r="A128" s="38">
        <v>15.2</v>
      </c>
      <c r="B128" s="35" t="s">
        <v>307</v>
      </c>
      <c r="C128" s="40" t="s">
        <v>320</v>
      </c>
      <c r="D128" s="37" t="s">
        <v>321</v>
      </c>
      <c r="E128" s="37" t="s">
        <v>18</v>
      </c>
      <c r="F128" s="38" t="s">
        <v>4</v>
      </c>
      <c r="G128" s="39" t="s">
        <v>20</v>
      </c>
      <c r="H128" s="38" t="s">
        <v>304</v>
      </c>
    </row>
    <row r="129" spans="1:8" x14ac:dyDescent="0.2">
      <c r="A129" s="38">
        <v>15.3</v>
      </c>
      <c r="B129" s="35" t="s">
        <v>322</v>
      </c>
      <c r="C129" s="40" t="s">
        <v>323</v>
      </c>
      <c r="D129" s="37" t="s">
        <v>324</v>
      </c>
      <c r="E129" s="37" t="s">
        <v>18</v>
      </c>
      <c r="F129" s="38" t="s">
        <v>113</v>
      </c>
      <c r="G129" s="39" t="s">
        <v>20</v>
      </c>
      <c r="H129" s="38" t="s">
        <v>304</v>
      </c>
    </row>
    <row r="130" spans="1:8" ht="30" x14ac:dyDescent="0.2">
      <c r="A130" s="38">
        <v>15.3</v>
      </c>
      <c r="B130" s="35" t="s">
        <v>322</v>
      </c>
      <c r="C130" s="40" t="s">
        <v>325</v>
      </c>
      <c r="D130" s="37" t="s">
        <v>326</v>
      </c>
      <c r="E130" s="37" t="s">
        <v>18</v>
      </c>
      <c r="F130" s="38" t="s">
        <v>113</v>
      </c>
      <c r="G130" s="39" t="s">
        <v>20</v>
      </c>
      <c r="H130" s="38" t="s">
        <v>304</v>
      </c>
    </row>
    <row r="131" spans="1:8" ht="60" x14ac:dyDescent="0.2">
      <c r="A131" s="38">
        <v>16.100000000000001</v>
      </c>
      <c r="B131" s="35" t="s">
        <v>327</v>
      </c>
      <c r="C131" s="40" t="s">
        <v>328</v>
      </c>
      <c r="D131" s="37" t="s">
        <v>329</v>
      </c>
      <c r="E131" s="37" t="s">
        <v>18</v>
      </c>
      <c r="F131" s="38" t="s">
        <v>19</v>
      </c>
      <c r="G131" s="39" t="s">
        <v>20</v>
      </c>
      <c r="H131" s="38" t="s">
        <v>21</v>
      </c>
    </row>
    <row r="132" spans="1:8" ht="60" x14ac:dyDescent="0.2">
      <c r="A132" s="38">
        <v>16.100000000000001</v>
      </c>
      <c r="B132" s="35" t="s">
        <v>327</v>
      </c>
      <c r="C132" s="40" t="s">
        <v>330</v>
      </c>
      <c r="D132" s="37" t="s">
        <v>331</v>
      </c>
      <c r="E132" s="37" t="s">
        <v>18</v>
      </c>
      <c r="F132" s="38" t="s">
        <v>19</v>
      </c>
      <c r="G132" s="39" t="s">
        <v>20</v>
      </c>
      <c r="H132" s="38" t="s">
        <v>21</v>
      </c>
    </row>
    <row r="133" spans="1:8" ht="30" x14ac:dyDescent="0.2">
      <c r="A133" s="38">
        <v>16.2</v>
      </c>
      <c r="B133" s="35" t="s">
        <v>332</v>
      </c>
      <c r="C133" s="40" t="s">
        <v>333</v>
      </c>
      <c r="D133" s="38" t="s">
        <v>334</v>
      </c>
      <c r="E133" s="37" t="s">
        <v>18</v>
      </c>
      <c r="F133" s="38" t="s">
        <v>113</v>
      </c>
      <c r="G133" s="39" t="s">
        <v>20</v>
      </c>
      <c r="H133" s="38" t="s">
        <v>21</v>
      </c>
    </row>
    <row r="134" spans="1:8" ht="30" x14ac:dyDescent="0.2">
      <c r="A134" s="38">
        <v>16.2</v>
      </c>
      <c r="B134" s="35" t="s">
        <v>332</v>
      </c>
      <c r="C134" s="40" t="s">
        <v>335</v>
      </c>
      <c r="D134" s="38" t="s">
        <v>336</v>
      </c>
      <c r="E134" s="37" t="s">
        <v>18</v>
      </c>
      <c r="F134" s="38" t="s">
        <v>113</v>
      </c>
      <c r="G134" s="39" t="s">
        <v>20</v>
      </c>
      <c r="H134" s="38" t="s">
        <v>21</v>
      </c>
    </row>
    <row r="135" spans="1:8" ht="30" x14ac:dyDescent="0.2">
      <c r="A135" s="38">
        <v>16.2</v>
      </c>
      <c r="B135" s="35" t="s">
        <v>332</v>
      </c>
      <c r="C135" s="40" t="s">
        <v>337</v>
      </c>
      <c r="D135" s="38" t="s">
        <v>338</v>
      </c>
      <c r="E135" s="37" t="s">
        <v>18</v>
      </c>
      <c r="F135" s="38" t="s">
        <v>113</v>
      </c>
      <c r="G135" s="39" t="s">
        <v>20</v>
      </c>
      <c r="H135" s="38" t="s">
        <v>21</v>
      </c>
    </row>
    <row r="136" spans="1:8" ht="30" x14ac:dyDescent="0.2">
      <c r="A136" s="38">
        <v>16.2</v>
      </c>
      <c r="B136" s="35" t="s">
        <v>332</v>
      </c>
      <c r="C136" s="40" t="s">
        <v>339</v>
      </c>
      <c r="D136" s="38" t="s">
        <v>340</v>
      </c>
      <c r="E136" s="37" t="s">
        <v>18</v>
      </c>
      <c r="F136" s="38" t="s">
        <v>113</v>
      </c>
      <c r="G136" s="39" t="s">
        <v>20</v>
      </c>
      <c r="H136" s="38" t="s">
        <v>21</v>
      </c>
    </row>
    <row r="137" spans="1:8" ht="30" x14ac:dyDescent="0.2">
      <c r="A137" s="38">
        <v>16.2</v>
      </c>
      <c r="B137" s="35" t="s">
        <v>332</v>
      </c>
      <c r="C137" s="40" t="s">
        <v>341</v>
      </c>
      <c r="D137" s="38" t="s">
        <v>342</v>
      </c>
      <c r="E137" s="37" t="s">
        <v>18</v>
      </c>
      <c r="F137" s="38" t="s">
        <v>113</v>
      </c>
      <c r="G137" s="39" t="s">
        <v>20</v>
      </c>
      <c r="H137" s="38" t="s">
        <v>21</v>
      </c>
    </row>
    <row r="138" spans="1:8" ht="30" x14ac:dyDescent="0.2">
      <c r="A138" s="38">
        <v>16.2</v>
      </c>
      <c r="B138" s="35" t="s">
        <v>332</v>
      </c>
      <c r="C138" s="40" t="s">
        <v>343</v>
      </c>
      <c r="D138" s="38" t="s">
        <v>344</v>
      </c>
      <c r="E138" s="37" t="s">
        <v>18</v>
      </c>
      <c r="F138" s="38" t="s">
        <v>113</v>
      </c>
      <c r="G138" s="39" t="s">
        <v>20</v>
      </c>
      <c r="H138" s="38" t="s">
        <v>21</v>
      </c>
    </row>
    <row r="139" spans="1:8" ht="30" x14ac:dyDescent="0.2">
      <c r="A139" s="38">
        <v>16.2</v>
      </c>
      <c r="B139" s="35" t="s">
        <v>332</v>
      </c>
      <c r="C139" s="40" t="s">
        <v>345</v>
      </c>
      <c r="D139" s="38" t="s">
        <v>346</v>
      </c>
      <c r="E139" s="37" t="s">
        <v>18</v>
      </c>
      <c r="F139" s="38" t="s">
        <v>113</v>
      </c>
      <c r="G139" s="39" t="s">
        <v>20</v>
      </c>
      <c r="H139" s="38" t="s">
        <v>21</v>
      </c>
    </row>
    <row r="140" spans="1:8" ht="45" x14ac:dyDescent="0.2">
      <c r="A140" s="38">
        <v>16.2</v>
      </c>
      <c r="B140" s="35" t="s">
        <v>332</v>
      </c>
      <c r="C140" s="40" t="s">
        <v>347</v>
      </c>
      <c r="D140" s="38" t="s">
        <v>348</v>
      </c>
      <c r="E140" s="38" t="s">
        <v>349</v>
      </c>
      <c r="F140" s="38" t="s">
        <v>113</v>
      </c>
      <c r="G140" s="39" t="s">
        <v>350</v>
      </c>
      <c r="H140" s="38" t="s">
        <v>21</v>
      </c>
    </row>
    <row r="141" spans="1:8" ht="30" x14ac:dyDescent="0.2">
      <c r="A141" s="38">
        <v>16.2</v>
      </c>
      <c r="B141" s="35" t="s">
        <v>332</v>
      </c>
      <c r="C141" s="40" t="s">
        <v>351</v>
      </c>
      <c r="D141" s="38" t="s">
        <v>352</v>
      </c>
      <c r="E141" s="37" t="s">
        <v>18</v>
      </c>
      <c r="F141" s="38" t="s">
        <v>353</v>
      </c>
      <c r="G141" s="39" t="s">
        <v>20</v>
      </c>
      <c r="H141" s="38" t="s">
        <v>21</v>
      </c>
    </row>
    <row r="142" spans="1:8" ht="30" x14ac:dyDescent="0.2">
      <c r="A142" s="38">
        <v>16.2</v>
      </c>
      <c r="B142" s="35" t="s">
        <v>332</v>
      </c>
      <c r="C142" s="40" t="s">
        <v>354</v>
      </c>
      <c r="D142" s="38" t="s">
        <v>355</v>
      </c>
      <c r="E142" s="37" t="s">
        <v>18</v>
      </c>
      <c r="F142" s="38" t="s">
        <v>113</v>
      </c>
      <c r="G142" s="39" t="s">
        <v>20</v>
      </c>
      <c r="H142" s="38" t="s">
        <v>21</v>
      </c>
    </row>
    <row r="143" spans="1:8" ht="30" x14ac:dyDescent="0.2">
      <c r="A143" s="38">
        <v>16.2</v>
      </c>
      <c r="B143" s="35" t="s">
        <v>332</v>
      </c>
      <c r="C143" s="40" t="s">
        <v>356</v>
      </c>
      <c r="D143" s="38" t="s">
        <v>357</v>
      </c>
      <c r="E143" s="37" t="s">
        <v>18</v>
      </c>
      <c r="F143" s="38" t="s">
        <v>113</v>
      </c>
      <c r="G143" s="39" t="s">
        <v>20</v>
      </c>
      <c r="H143" s="38" t="s">
        <v>21</v>
      </c>
    </row>
    <row r="144" spans="1:8" ht="30" x14ac:dyDescent="0.2">
      <c r="A144" s="38">
        <v>16.2</v>
      </c>
      <c r="B144" s="35" t="s">
        <v>332</v>
      </c>
      <c r="C144" s="40" t="s">
        <v>358</v>
      </c>
      <c r="D144" s="38" t="s">
        <v>359</v>
      </c>
      <c r="E144" s="37" t="s">
        <v>18</v>
      </c>
      <c r="F144" s="38" t="s">
        <v>113</v>
      </c>
      <c r="G144" s="39" t="s">
        <v>20</v>
      </c>
      <c r="H144" s="38" t="s">
        <v>21</v>
      </c>
    </row>
    <row r="145" spans="1:8" ht="30" x14ac:dyDescent="0.2">
      <c r="A145" s="38">
        <v>16.2</v>
      </c>
      <c r="B145" s="35" t="s">
        <v>332</v>
      </c>
      <c r="C145" s="40" t="s">
        <v>360</v>
      </c>
      <c r="D145" s="38" t="s">
        <v>361</v>
      </c>
      <c r="E145" s="37" t="s">
        <v>18</v>
      </c>
      <c r="F145" s="38" t="s">
        <v>113</v>
      </c>
      <c r="G145" s="39" t="s">
        <v>20</v>
      </c>
      <c r="H145" s="38" t="s">
        <v>21</v>
      </c>
    </row>
    <row r="146" spans="1:8" ht="30" x14ac:dyDescent="0.2">
      <c r="A146" s="38">
        <v>16.2</v>
      </c>
      <c r="B146" s="35" t="s">
        <v>332</v>
      </c>
      <c r="C146" s="40" t="s">
        <v>362</v>
      </c>
      <c r="D146" s="38" t="s">
        <v>363</v>
      </c>
      <c r="E146" s="37" t="s">
        <v>18</v>
      </c>
      <c r="F146" s="38" t="s">
        <v>113</v>
      </c>
      <c r="G146" s="39" t="s">
        <v>20</v>
      </c>
      <c r="H146" s="38" t="s">
        <v>21</v>
      </c>
    </row>
    <row r="147" spans="1:8" ht="45" x14ac:dyDescent="0.2">
      <c r="A147" s="38">
        <v>16.2</v>
      </c>
      <c r="B147" s="35" t="s">
        <v>332</v>
      </c>
      <c r="C147" s="40" t="s">
        <v>364</v>
      </c>
      <c r="D147" s="38" t="s">
        <v>365</v>
      </c>
      <c r="E147" s="38" t="s">
        <v>366</v>
      </c>
      <c r="F147" s="38" t="s">
        <v>113</v>
      </c>
      <c r="G147" s="39" t="s">
        <v>350</v>
      </c>
      <c r="H147" s="38" t="s">
        <v>21</v>
      </c>
    </row>
    <row r="148" spans="1:8" ht="30" x14ac:dyDescent="0.2">
      <c r="A148" s="38">
        <v>16.2</v>
      </c>
      <c r="B148" s="35" t="s">
        <v>332</v>
      </c>
      <c r="C148" s="40" t="s">
        <v>367</v>
      </c>
      <c r="D148" s="38" t="s">
        <v>368</v>
      </c>
      <c r="E148" s="37" t="s">
        <v>18</v>
      </c>
      <c r="F148" s="38" t="s">
        <v>353</v>
      </c>
      <c r="G148" s="39" t="s">
        <v>20</v>
      </c>
      <c r="H148" s="38" t="s">
        <v>21</v>
      </c>
    </row>
    <row r="149" spans="1:8" ht="30" x14ac:dyDescent="0.2">
      <c r="A149" s="38">
        <v>16.2</v>
      </c>
      <c r="B149" s="35" t="s">
        <v>332</v>
      </c>
      <c r="C149" s="40" t="s">
        <v>369</v>
      </c>
      <c r="D149" s="37" t="s">
        <v>370</v>
      </c>
      <c r="E149" s="37" t="s">
        <v>18</v>
      </c>
      <c r="F149" s="38" t="s">
        <v>4</v>
      </c>
      <c r="G149" s="39" t="s">
        <v>20</v>
      </c>
      <c r="H149" s="38" t="s">
        <v>21</v>
      </c>
    </row>
    <row r="150" spans="1:8" ht="30" x14ac:dyDescent="0.2">
      <c r="A150" s="38">
        <v>16.2</v>
      </c>
      <c r="B150" s="35" t="s">
        <v>332</v>
      </c>
      <c r="C150" s="40" t="s">
        <v>371</v>
      </c>
      <c r="D150" s="37" t="s">
        <v>372</v>
      </c>
      <c r="E150" s="37" t="s">
        <v>18</v>
      </c>
      <c r="F150" s="38" t="s">
        <v>4</v>
      </c>
      <c r="G150" s="39" t="s">
        <v>20</v>
      </c>
      <c r="H150" s="38" t="s">
        <v>21</v>
      </c>
    </row>
    <row r="151" spans="1:8" ht="30" x14ac:dyDescent="0.2">
      <c r="A151" s="38">
        <v>16.2</v>
      </c>
      <c r="B151" s="35" t="s">
        <v>332</v>
      </c>
      <c r="C151" s="40" t="s">
        <v>373</v>
      </c>
      <c r="D151" s="37" t="s">
        <v>374</v>
      </c>
      <c r="E151" s="37" t="s">
        <v>18</v>
      </c>
      <c r="F151" s="38" t="s">
        <v>88</v>
      </c>
      <c r="G151" s="39" t="s">
        <v>20</v>
      </c>
      <c r="H151" s="38" t="s">
        <v>21</v>
      </c>
    </row>
    <row r="152" spans="1:8" ht="30" x14ac:dyDescent="0.2">
      <c r="A152" s="38">
        <v>16.2</v>
      </c>
      <c r="B152" s="35" t="s">
        <v>332</v>
      </c>
      <c r="C152" s="40" t="s">
        <v>375</v>
      </c>
      <c r="D152" s="37" t="s">
        <v>376</v>
      </c>
      <c r="E152" s="37" t="s">
        <v>18</v>
      </c>
      <c r="F152" s="38" t="s">
        <v>113</v>
      </c>
      <c r="G152" s="39" t="s">
        <v>20</v>
      </c>
      <c r="H152" s="38" t="s">
        <v>21</v>
      </c>
    </row>
    <row r="153" spans="1:8" ht="30" x14ac:dyDescent="0.2">
      <c r="A153" s="38">
        <v>16.3</v>
      </c>
      <c r="B153" s="35" t="s">
        <v>377</v>
      </c>
      <c r="C153" s="40" t="s">
        <v>378</v>
      </c>
      <c r="D153" s="37" t="s">
        <v>379</v>
      </c>
      <c r="E153" s="37" t="s">
        <v>18</v>
      </c>
      <c r="F153" s="38" t="s">
        <v>19</v>
      </c>
      <c r="G153" s="39" t="s">
        <v>20</v>
      </c>
      <c r="H153" s="38" t="s">
        <v>21</v>
      </c>
    </row>
    <row r="154" spans="1:8" ht="30" x14ac:dyDescent="0.2">
      <c r="A154" s="38">
        <v>16.3</v>
      </c>
      <c r="B154" s="35" t="s">
        <v>377</v>
      </c>
      <c r="C154" s="40" t="s">
        <v>380</v>
      </c>
      <c r="D154" s="37" t="s">
        <v>381</v>
      </c>
      <c r="E154" s="37" t="s">
        <v>18</v>
      </c>
      <c r="F154" s="38" t="s">
        <v>19</v>
      </c>
      <c r="G154" s="39" t="s">
        <v>20</v>
      </c>
      <c r="H154" s="38" t="s">
        <v>21</v>
      </c>
    </row>
    <row r="155" spans="1:8" ht="90" x14ac:dyDescent="0.2">
      <c r="A155" s="38">
        <v>16.3</v>
      </c>
      <c r="B155" s="35" t="s">
        <v>377</v>
      </c>
      <c r="C155" s="40" t="s">
        <v>382</v>
      </c>
      <c r="D155" s="37" t="s">
        <v>383</v>
      </c>
      <c r="E155" s="37" t="s">
        <v>384</v>
      </c>
      <c r="F155" s="38" t="s">
        <v>19</v>
      </c>
      <c r="G155" s="39" t="s">
        <v>385</v>
      </c>
      <c r="H155" s="38" t="s">
        <v>21</v>
      </c>
    </row>
    <row r="156" spans="1:8" ht="90" x14ac:dyDescent="0.2">
      <c r="A156" s="38">
        <v>16.3</v>
      </c>
      <c r="B156" s="35" t="s">
        <v>377</v>
      </c>
      <c r="C156" s="40" t="s">
        <v>386</v>
      </c>
      <c r="D156" s="37" t="s">
        <v>387</v>
      </c>
      <c r="E156" s="37" t="s">
        <v>384</v>
      </c>
      <c r="F156" s="38" t="s">
        <v>19</v>
      </c>
      <c r="G156" s="39" t="s">
        <v>385</v>
      </c>
      <c r="H156" s="38" t="s">
        <v>21</v>
      </c>
    </row>
    <row r="157" spans="1:8" ht="60" x14ac:dyDescent="0.2">
      <c r="A157" s="38">
        <v>17.100000000000001</v>
      </c>
      <c r="B157" s="35" t="s">
        <v>388</v>
      </c>
      <c r="C157" s="40" t="s">
        <v>389</v>
      </c>
      <c r="D157" s="37" t="s">
        <v>388</v>
      </c>
      <c r="E157" s="37" t="s">
        <v>18</v>
      </c>
      <c r="F157" s="38" t="s">
        <v>113</v>
      </c>
      <c r="G157" s="39" t="s">
        <v>20</v>
      </c>
      <c r="H157" s="38" t="s">
        <v>85</v>
      </c>
    </row>
    <row r="158" spans="1:8" ht="30" x14ac:dyDescent="0.2">
      <c r="A158" s="38">
        <v>17.2</v>
      </c>
      <c r="B158" s="35" t="s">
        <v>390</v>
      </c>
      <c r="C158" s="40" t="s">
        <v>391</v>
      </c>
      <c r="D158" s="37" t="s">
        <v>390</v>
      </c>
      <c r="E158" s="37" t="s">
        <v>18</v>
      </c>
      <c r="F158" s="38" t="s">
        <v>113</v>
      </c>
      <c r="G158" s="39" t="s">
        <v>20</v>
      </c>
      <c r="H158" s="38" t="s">
        <v>85</v>
      </c>
    </row>
    <row r="159" spans="1:8" ht="45" x14ac:dyDescent="0.2">
      <c r="A159" s="38">
        <v>17.3</v>
      </c>
      <c r="B159" s="35" t="s">
        <v>392</v>
      </c>
      <c r="C159" s="40" t="s">
        <v>393</v>
      </c>
      <c r="D159" s="37" t="s">
        <v>394</v>
      </c>
      <c r="E159" s="37" t="s">
        <v>395</v>
      </c>
      <c r="F159" s="38" t="s">
        <v>396</v>
      </c>
      <c r="G159" s="39" t="s">
        <v>397</v>
      </c>
      <c r="H159" s="38" t="s">
        <v>85</v>
      </c>
    </row>
    <row r="160" spans="1:8" x14ac:dyDescent="0.2">
      <c r="A160" s="38">
        <v>17.399999999999999</v>
      </c>
      <c r="B160" s="35" t="s">
        <v>398</v>
      </c>
      <c r="C160" s="40" t="s">
        <v>399</v>
      </c>
      <c r="D160" s="37" t="s">
        <v>400</v>
      </c>
      <c r="E160" s="37" t="s">
        <v>18</v>
      </c>
      <c r="F160" s="38" t="s">
        <v>4</v>
      </c>
      <c r="G160" s="39" t="s">
        <v>20</v>
      </c>
      <c r="H160" s="38" t="s">
        <v>85</v>
      </c>
    </row>
    <row r="161" spans="1:8" x14ac:dyDescent="0.2">
      <c r="A161" s="38">
        <v>18.100000000000001</v>
      </c>
      <c r="B161" s="35" t="s">
        <v>401</v>
      </c>
      <c r="C161" s="40" t="s">
        <v>402</v>
      </c>
      <c r="D161" s="38" t="s">
        <v>403</v>
      </c>
      <c r="E161" s="37" t="s">
        <v>18</v>
      </c>
      <c r="F161" s="38" t="s">
        <v>88</v>
      </c>
      <c r="G161" s="39" t="s">
        <v>20</v>
      </c>
      <c r="H161" s="38" t="s">
        <v>21</v>
      </c>
    </row>
    <row r="162" spans="1:8" x14ac:dyDescent="0.2">
      <c r="A162" s="38">
        <v>18.100000000000001</v>
      </c>
      <c r="B162" s="35" t="s">
        <v>401</v>
      </c>
      <c r="C162" s="40" t="s">
        <v>404</v>
      </c>
      <c r="D162" s="38" t="s">
        <v>405</v>
      </c>
      <c r="E162" s="37" t="s">
        <v>18</v>
      </c>
      <c r="F162" s="38" t="s">
        <v>88</v>
      </c>
      <c r="G162" s="39" t="s">
        <v>20</v>
      </c>
      <c r="H162" s="38" t="s">
        <v>21</v>
      </c>
    </row>
    <row r="163" spans="1:8" x14ac:dyDescent="0.2">
      <c r="A163" s="38">
        <v>18.100000000000001</v>
      </c>
      <c r="B163" s="35" t="s">
        <v>401</v>
      </c>
      <c r="C163" s="40" t="s">
        <v>406</v>
      </c>
      <c r="D163" s="38" t="s">
        <v>407</v>
      </c>
      <c r="E163" s="37" t="s">
        <v>18</v>
      </c>
      <c r="F163" s="38" t="s">
        <v>88</v>
      </c>
      <c r="G163" s="39" t="s">
        <v>20</v>
      </c>
      <c r="H163" s="38" t="s">
        <v>21</v>
      </c>
    </row>
    <row r="164" spans="1:8" x14ac:dyDescent="0.2">
      <c r="A164" s="38">
        <v>18.100000000000001</v>
      </c>
      <c r="B164" s="35" t="s">
        <v>401</v>
      </c>
      <c r="C164" s="40" t="s">
        <v>408</v>
      </c>
      <c r="D164" s="38" t="s">
        <v>409</v>
      </c>
      <c r="E164" s="37" t="s">
        <v>18</v>
      </c>
      <c r="F164" s="38" t="s">
        <v>88</v>
      </c>
      <c r="G164" s="39" t="s">
        <v>20</v>
      </c>
      <c r="H164" s="38" t="s">
        <v>21</v>
      </c>
    </row>
    <row r="165" spans="1:8" x14ac:dyDescent="0.2">
      <c r="A165" s="38">
        <v>18.100000000000001</v>
      </c>
      <c r="B165" s="35" t="s">
        <v>401</v>
      </c>
      <c r="C165" s="40" t="s">
        <v>410</v>
      </c>
      <c r="D165" s="38" t="s">
        <v>411</v>
      </c>
      <c r="E165" s="37" t="s">
        <v>18</v>
      </c>
      <c r="F165" s="38" t="s">
        <v>88</v>
      </c>
      <c r="G165" s="39" t="s">
        <v>20</v>
      </c>
      <c r="H165" s="38" t="s">
        <v>21</v>
      </c>
    </row>
    <row r="166" spans="1:8" x14ac:dyDescent="0.2">
      <c r="A166" s="38">
        <v>18.100000000000001</v>
      </c>
      <c r="B166" s="35" t="s">
        <v>401</v>
      </c>
      <c r="C166" s="40" t="s">
        <v>412</v>
      </c>
      <c r="D166" s="38" t="s">
        <v>413</v>
      </c>
      <c r="E166" s="37" t="s">
        <v>18</v>
      </c>
      <c r="F166" s="38" t="s">
        <v>88</v>
      </c>
      <c r="G166" s="39" t="s">
        <v>20</v>
      </c>
      <c r="H166" s="38" t="s">
        <v>21</v>
      </c>
    </row>
    <row r="167" spans="1:8" x14ac:dyDescent="0.2">
      <c r="A167" s="38">
        <v>18.100000000000001</v>
      </c>
      <c r="B167" s="35" t="s">
        <v>401</v>
      </c>
      <c r="C167" s="40" t="s">
        <v>414</v>
      </c>
      <c r="D167" s="38" t="s">
        <v>415</v>
      </c>
      <c r="E167" s="37" t="s">
        <v>18</v>
      </c>
      <c r="F167" s="38" t="s">
        <v>88</v>
      </c>
      <c r="G167" s="39" t="s">
        <v>20</v>
      </c>
      <c r="H167" s="38" t="s">
        <v>21</v>
      </c>
    </row>
    <row r="168" spans="1:8" x14ac:dyDescent="0.2">
      <c r="A168" s="38">
        <v>18.100000000000001</v>
      </c>
      <c r="B168" s="35" t="s">
        <v>401</v>
      </c>
      <c r="C168" s="40" t="s">
        <v>416</v>
      </c>
      <c r="D168" s="38" t="s">
        <v>417</v>
      </c>
      <c r="E168" s="37" t="s">
        <v>18</v>
      </c>
      <c r="F168" s="38" t="s">
        <v>88</v>
      </c>
      <c r="G168" s="39" t="s">
        <v>20</v>
      </c>
      <c r="H168" s="38" t="s">
        <v>21</v>
      </c>
    </row>
    <row r="169" spans="1:8" x14ac:dyDescent="0.2">
      <c r="A169" s="38">
        <v>18.100000000000001</v>
      </c>
      <c r="B169" s="35" t="s">
        <v>401</v>
      </c>
      <c r="C169" s="40" t="s">
        <v>418</v>
      </c>
      <c r="D169" s="38" t="s">
        <v>419</v>
      </c>
      <c r="E169" s="37" t="s">
        <v>18</v>
      </c>
      <c r="F169" s="38" t="s">
        <v>88</v>
      </c>
      <c r="G169" s="39" t="s">
        <v>20</v>
      </c>
      <c r="H169" s="38" t="s">
        <v>21</v>
      </c>
    </row>
    <row r="170" spans="1:8" ht="45" x14ac:dyDescent="0.2">
      <c r="A170" s="38">
        <v>18.2</v>
      </c>
      <c r="B170" s="35" t="s">
        <v>420</v>
      </c>
      <c r="C170" s="40" t="s">
        <v>421</v>
      </c>
      <c r="D170" s="38" t="s">
        <v>422</v>
      </c>
      <c r="E170" s="38" t="s">
        <v>423</v>
      </c>
      <c r="F170" s="38" t="s">
        <v>113</v>
      </c>
      <c r="G170" s="39" t="s">
        <v>424</v>
      </c>
      <c r="H170" s="38" t="s">
        <v>120</v>
      </c>
    </row>
    <row r="171" spans="1:8" ht="30" x14ac:dyDescent="0.2">
      <c r="A171" s="38">
        <v>18.2</v>
      </c>
      <c r="B171" s="35" t="s">
        <v>420</v>
      </c>
      <c r="C171" s="40" t="s">
        <v>425</v>
      </c>
      <c r="D171" s="38" t="s">
        <v>426</v>
      </c>
      <c r="E171" s="38" t="s">
        <v>423</v>
      </c>
      <c r="F171" s="38" t="s">
        <v>113</v>
      </c>
      <c r="G171" s="39" t="s">
        <v>424</v>
      </c>
      <c r="H171" s="38" t="s">
        <v>120</v>
      </c>
    </row>
    <row r="172" spans="1:8" ht="30" x14ac:dyDescent="0.2">
      <c r="A172" s="38">
        <v>18.2</v>
      </c>
      <c r="B172" s="35" t="s">
        <v>420</v>
      </c>
      <c r="C172" s="40" t="s">
        <v>427</v>
      </c>
      <c r="D172" s="38" t="s">
        <v>428</v>
      </c>
      <c r="E172" s="38" t="s">
        <v>423</v>
      </c>
      <c r="F172" s="38" t="s">
        <v>113</v>
      </c>
      <c r="G172" s="39" t="s">
        <v>424</v>
      </c>
      <c r="H172" s="38" t="s">
        <v>120</v>
      </c>
    </row>
    <row r="173" spans="1:8" ht="45" x14ac:dyDescent="0.2">
      <c r="A173" s="38">
        <v>18.3</v>
      </c>
      <c r="B173" s="35" t="s">
        <v>429</v>
      </c>
      <c r="C173" s="40" t="s">
        <v>430</v>
      </c>
      <c r="D173" s="38" t="s">
        <v>431</v>
      </c>
      <c r="E173" s="38" t="s">
        <v>423</v>
      </c>
      <c r="F173" s="38" t="s">
        <v>113</v>
      </c>
      <c r="G173" s="39" t="s">
        <v>424</v>
      </c>
      <c r="H173" s="38" t="s">
        <v>120</v>
      </c>
    </row>
    <row r="174" spans="1:8" ht="45" x14ac:dyDescent="0.2">
      <c r="A174" s="38">
        <v>18.3</v>
      </c>
      <c r="B174" s="35" t="s">
        <v>429</v>
      </c>
      <c r="C174" s="40" t="s">
        <v>432</v>
      </c>
      <c r="D174" s="38" t="s">
        <v>433</v>
      </c>
      <c r="E174" s="38" t="s">
        <v>423</v>
      </c>
      <c r="F174" s="38" t="s">
        <v>113</v>
      </c>
      <c r="G174" s="39" t="s">
        <v>424</v>
      </c>
      <c r="H174" s="38" t="s">
        <v>120</v>
      </c>
    </row>
    <row r="175" spans="1:8" ht="30" x14ac:dyDescent="0.2">
      <c r="A175" s="38">
        <v>18.3</v>
      </c>
      <c r="B175" s="35" t="s">
        <v>429</v>
      </c>
      <c r="C175" s="40" t="s">
        <v>434</v>
      </c>
      <c r="D175" s="38" t="s">
        <v>435</v>
      </c>
      <c r="E175" s="38" t="s">
        <v>423</v>
      </c>
      <c r="F175" s="38" t="s">
        <v>113</v>
      </c>
      <c r="G175" s="39" t="s">
        <v>424</v>
      </c>
      <c r="H175" s="38" t="s">
        <v>120</v>
      </c>
    </row>
    <row r="176" spans="1:8" ht="30" x14ac:dyDescent="0.2">
      <c r="A176" s="38">
        <v>18.399999999999999</v>
      </c>
      <c r="B176" s="35" t="s">
        <v>436</v>
      </c>
      <c r="C176" s="40" t="s">
        <v>437</v>
      </c>
      <c r="D176" s="38" t="s">
        <v>438</v>
      </c>
      <c r="E176" s="37" t="s">
        <v>18</v>
      </c>
      <c r="F176" s="38" t="s">
        <v>113</v>
      </c>
      <c r="G176" s="39" t="s">
        <v>20</v>
      </c>
      <c r="H176" s="38" t="s">
        <v>21</v>
      </c>
    </row>
    <row r="177" spans="1:8" ht="30" x14ac:dyDescent="0.2">
      <c r="A177" s="38">
        <v>18.399999999999999</v>
      </c>
      <c r="B177" s="35" t="s">
        <v>436</v>
      </c>
      <c r="C177" s="40" t="s">
        <v>439</v>
      </c>
      <c r="D177" s="38" t="s">
        <v>440</v>
      </c>
      <c r="E177" s="37" t="s">
        <v>18</v>
      </c>
      <c r="F177" s="38" t="s">
        <v>113</v>
      </c>
      <c r="G177" s="39" t="s">
        <v>20</v>
      </c>
      <c r="H177" s="38" t="s">
        <v>21</v>
      </c>
    </row>
    <row r="178" spans="1:8" ht="30" x14ac:dyDescent="0.2">
      <c r="A178" s="38">
        <v>18.399999999999999</v>
      </c>
      <c r="B178" s="35" t="s">
        <v>436</v>
      </c>
      <c r="C178" s="40" t="s">
        <v>441</v>
      </c>
      <c r="D178" s="38" t="s">
        <v>442</v>
      </c>
      <c r="E178" s="37" t="s">
        <v>18</v>
      </c>
      <c r="F178" s="38" t="s">
        <v>113</v>
      </c>
      <c r="G178" s="39" t="s">
        <v>20</v>
      </c>
      <c r="H178" s="38" t="s">
        <v>21</v>
      </c>
    </row>
    <row r="179" spans="1:8" ht="30" x14ac:dyDescent="0.2">
      <c r="A179" s="38">
        <v>19.100000000000001</v>
      </c>
      <c r="B179" s="35" t="s">
        <v>443</v>
      </c>
      <c r="C179" s="40" t="s">
        <v>444</v>
      </c>
      <c r="D179" s="37" t="s">
        <v>445</v>
      </c>
      <c r="E179" s="37" t="s">
        <v>18</v>
      </c>
      <c r="F179" s="38" t="s">
        <v>88</v>
      </c>
      <c r="G179" s="39" t="s">
        <v>20</v>
      </c>
      <c r="H179" s="38" t="s">
        <v>21</v>
      </c>
    </row>
    <row r="180" spans="1:8" ht="30" x14ac:dyDescent="0.2">
      <c r="A180" s="38">
        <v>19.100000000000001</v>
      </c>
      <c r="B180" s="35" t="s">
        <v>443</v>
      </c>
      <c r="C180" s="40" t="s">
        <v>446</v>
      </c>
      <c r="D180" s="37" t="s">
        <v>447</v>
      </c>
      <c r="E180" s="37" t="s">
        <v>18</v>
      </c>
      <c r="F180" s="38" t="s">
        <v>88</v>
      </c>
      <c r="G180" s="39" t="s">
        <v>20</v>
      </c>
      <c r="H180" s="38" t="s">
        <v>21</v>
      </c>
    </row>
    <row r="181" spans="1:8" ht="30" x14ac:dyDescent="0.2">
      <c r="A181" s="38">
        <v>19.100000000000001</v>
      </c>
      <c r="B181" s="35" t="s">
        <v>443</v>
      </c>
      <c r="C181" s="40" t="s">
        <v>448</v>
      </c>
      <c r="D181" s="37" t="s">
        <v>449</v>
      </c>
      <c r="E181" s="37" t="s">
        <v>18</v>
      </c>
      <c r="F181" s="38" t="s">
        <v>113</v>
      </c>
      <c r="G181" s="39" t="s">
        <v>20</v>
      </c>
      <c r="H181" s="38" t="s">
        <v>120</v>
      </c>
    </row>
    <row r="182" spans="1:8" ht="30" x14ac:dyDescent="0.2">
      <c r="A182" s="38">
        <v>19.100000000000001</v>
      </c>
      <c r="B182" s="35" t="s">
        <v>443</v>
      </c>
      <c r="C182" s="40" t="s">
        <v>450</v>
      </c>
      <c r="D182" s="37" t="s">
        <v>451</v>
      </c>
      <c r="E182" s="37" t="s">
        <v>289</v>
      </c>
      <c r="F182" s="38" t="s">
        <v>113</v>
      </c>
      <c r="G182" s="39" t="s">
        <v>20</v>
      </c>
      <c r="H182" s="38" t="s">
        <v>120</v>
      </c>
    </row>
    <row r="183" spans="1:8" ht="30" x14ac:dyDescent="0.2">
      <c r="A183" s="38">
        <v>19.100000000000001</v>
      </c>
      <c r="B183" s="35" t="s">
        <v>443</v>
      </c>
      <c r="C183" s="40" t="s">
        <v>452</v>
      </c>
      <c r="D183" s="37" t="s">
        <v>453</v>
      </c>
      <c r="E183" s="37" t="s">
        <v>18</v>
      </c>
      <c r="F183" s="38" t="s">
        <v>113</v>
      </c>
      <c r="G183" s="39" t="s">
        <v>20</v>
      </c>
      <c r="H183" s="38" t="s">
        <v>120</v>
      </c>
    </row>
    <row r="184" spans="1:8" ht="30" x14ac:dyDescent="0.2">
      <c r="A184" s="38">
        <v>19.100000000000001</v>
      </c>
      <c r="B184" s="35" t="s">
        <v>443</v>
      </c>
      <c r="C184" s="40" t="s">
        <v>454</v>
      </c>
      <c r="D184" s="37" t="s">
        <v>455</v>
      </c>
      <c r="E184" s="37" t="s">
        <v>289</v>
      </c>
      <c r="F184" s="38" t="s">
        <v>113</v>
      </c>
      <c r="G184" s="39" t="s">
        <v>20</v>
      </c>
      <c r="H184" s="38" t="s">
        <v>120</v>
      </c>
    </row>
    <row r="185" spans="1:8" x14ac:dyDescent="0.2">
      <c r="A185" s="38">
        <v>20.100000000000001</v>
      </c>
      <c r="B185" s="35" t="s">
        <v>456</v>
      </c>
      <c r="C185" s="40" t="s">
        <v>457</v>
      </c>
      <c r="D185" s="37" t="s">
        <v>458</v>
      </c>
      <c r="E185" s="37"/>
      <c r="F185" s="38" t="s">
        <v>113</v>
      </c>
      <c r="G185" s="39" t="s">
        <v>459</v>
      </c>
      <c r="H185" s="38" t="s">
        <v>460</v>
      </c>
    </row>
    <row r="186" spans="1:8" ht="30" x14ac:dyDescent="0.2">
      <c r="A186" s="38">
        <v>20.2</v>
      </c>
      <c r="B186" s="35" t="s">
        <v>461</v>
      </c>
      <c r="C186" s="40" t="s">
        <v>462</v>
      </c>
      <c r="D186" s="37" t="s">
        <v>463</v>
      </c>
      <c r="E186" s="37"/>
      <c r="F186" s="38" t="s">
        <v>19</v>
      </c>
      <c r="G186" s="39" t="s">
        <v>459</v>
      </c>
      <c r="H186" s="38" t="s">
        <v>460</v>
      </c>
    </row>
    <row r="187" spans="1:8" ht="30" x14ac:dyDescent="0.2">
      <c r="A187" s="38">
        <v>20.3</v>
      </c>
      <c r="B187" s="35" t="s">
        <v>464</v>
      </c>
      <c r="C187" s="40" t="s">
        <v>465</v>
      </c>
      <c r="D187" s="37" t="s">
        <v>466</v>
      </c>
      <c r="E187" s="37"/>
      <c r="F187" s="38" t="s">
        <v>19</v>
      </c>
      <c r="G187" s="39" t="s">
        <v>467</v>
      </c>
      <c r="H187" s="38" t="s">
        <v>460</v>
      </c>
    </row>
    <row r="188" spans="1:8" ht="45" x14ac:dyDescent="0.2">
      <c r="A188" s="38">
        <v>20.399999999999999</v>
      </c>
      <c r="B188" s="35" t="s">
        <v>468</v>
      </c>
      <c r="C188" s="40" t="s">
        <v>469</v>
      </c>
      <c r="D188" s="38" t="s">
        <v>470</v>
      </c>
      <c r="E188" s="38"/>
      <c r="F188" s="38" t="s">
        <v>88</v>
      </c>
      <c r="G188" s="39" t="s">
        <v>459</v>
      </c>
      <c r="H188" s="38" t="s">
        <v>85</v>
      </c>
    </row>
    <row r="189" spans="1:8" x14ac:dyDescent="0.2">
      <c r="A189" s="38">
        <v>20.399999999999999</v>
      </c>
      <c r="B189" s="35" t="s">
        <v>468</v>
      </c>
      <c r="C189" s="40" t="s">
        <v>471</v>
      </c>
      <c r="D189" s="38" t="s">
        <v>472</v>
      </c>
      <c r="E189" s="38"/>
      <c r="F189" s="38" t="s">
        <v>4</v>
      </c>
      <c r="G189" s="39" t="s">
        <v>459</v>
      </c>
      <c r="H189" s="38" t="s">
        <v>85</v>
      </c>
    </row>
    <row r="190" spans="1:8" x14ac:dyDescent="0.2">
      <c r="A190" s="38">
        <v>20.399999999999999</v>
      </c>
      <c r="B190" s="35" t="s">
        <v>468</v>
      </c>
      <c r="C190" s="40" t="s">
        <v>473</v>
      </c>
      <c r="D190" s="38" t="s">
        <v>474</v>
      </c>
      <c r="E190" s="38"/>
      <c r="F190" s="38" t="s">
        <v>4</v>
      </c>
      <c r="G190" s="39" t="s">
        <v>459</v>
      </c>
      <c r="H190" s="38" t="s">
        <v>85</v>
      </c>
    </row>
    <row r="191" spans="1:8" ht="30" x14ac:dyDescent="0.2">
      <c r="A191" s="38">
        <v>20.399999999999999</v>
      </c>
      <c r="B191" s="35" t="s">
        <v>468</v>
      </c>
      <c r="C191" s="40" t="s">
        <v>475</v>
      </c>
      <c r="D191" s="38" t="s">
        <v>476</v>
      </c>
      <c r="E191" s="38"/>
      <c r="F191" s="38" t="s">
        <v>88</v>
      </c>
      <c r="G191" s="39" t="s">
        <v>459</v>
      </c>
      <c r="H191" s="38" t="s">
        <v>85</v>
      </c>
    </row>
    <row r="192" spans="1:8" x14ac:dyDescent="0.2">
      <c r="A192" s="38">
        <v>20.399999999999999</v>
      </c>
      <c r="B192" s="35" t="s">
        <v>468</v>
      </c>
      <c r="C192" s="40" t="s">
        <v>477</v>
      </c>
      <c r="D192" s="38" t="s">
        <v>206</v>
      </c>
      <c r="E192" s="38"/>
      <c r="F192" s="38" t="s">
        <v>113</v>
      </c>
      <c r="G192" s="39" t="s">
        <v>459</v>
      </c>
      <c r="H192" s="38" t="s">
        <v>85</v>
      </c>
    </row>
    <row r="193" spans="1:8" ht="30" x14ac:dyDescent="0.2">
      <c r="A193" s="38">
        <v>20.5</v>
      </c>
      <c r="B193" s="35" t="s">
        <v>478</v>
      </c>
      <c r="C193" s="40" t="s">
        <v>479</v>
      </c>
      <c r="D193" s="37" t="s">
        <v>480</v>
      </c>
      <c r="E193" s="37"/>
      <c r="F193" s="38" t="s">
        <v>19</v>
      </c>
      <c r="G193" s="39" t="s">
        <v>459</v>
      </c>
      <c r="H193" s="38" t="s">
        <v>21</v>
      </c>
    </row>
    <row r="194" spans="1:8" ht="30" x14ac:dyDescent="0.2">
      <c r="A194" s="38">
        <v>20.5</v>
      </c>
      <c r="B194" s="35" t="s">
        <v>478</v>
      </c>
      <c r="C194" s="40" t="s">
        <v>481</v>
      </c>
      <c r="D194" s="37" t="s">
        <v>482</v>
      </c>
      <c r="E194" s="37"/>
      <c r="F194" s="38" t="s">
        <v>4</v>
      </c>
      <c r="G194" s="39" t="s">
        <v>459</v>
      </c>
      <c r="H194" s="38" t="s">
        <v>21</v>
      </c>
    </row>
    <row r="195" spans="1:8" ht="30" x14ac:dyDescent="0.2">
      <c r="A195" s="38">
        <v>20.6</v>
      </c>
      <c r="B195" s="35" t="s">
        <v>483</v>
      </c>
      <c r="C195" s="40" t="s">
        <v>484</v>
      </c>
      <c r="D195" s="37" t="s">
        <v>485</v>
      </c>
      <c r="E195" s="37"/>
      <c r="F195" s="38" t="s">
        <v>19</v>
      </c>
      <c r="G195" s="39" t="s">
        <v>459</v>
      </c>
      <c r="H195" s="38" t="s">
        <v>21</v>
      </c>
    </row>
    <row r="196" spans="1:8" ht="30" x14ac:dyDescent="0.2">
      <c r="A196" s="38">
        <v>20.6</v>
      </c>
      <c r="B196" s="35" t="s">
        <v>483</v>
      </c>
      <c r="C196" s="40" t="s">
        <v>486</v>
      </c>
      <c r="D196" s="37" t="s">
        <v>482</v>
      </c>
      <c r="E196" s="37"/>
      <c r="F196" s="38" t="s">
        <v>4</v>
      </c>
      <c r="G196" s="39" t="s">
        <v>459</v>
      </c>
      <c r="H196" s="38" t="s">
        <v>21</v>
      </c>
    </row>
    <row r="197" spans="1:8" ht="30" x14ac:dyDescent="0.2">
      <c r="A197" s="38">
        <v>20.7</v>
      </c>
      <c r="B197" s="35" t="s">
        <v>487</v>
      </c>
      <c r="C197" s="40" t="s">
        <v>488</v>
      </c>
      <c r="D197" s="37" t="s">
        <v>489</v>
      </c>
      <c r="E197" s="37"/>
      <c r="F197" s="38" t="s">
        <v>113</v>
      </c>
      <c r="G197" s="39" t="s">
        <v>459</v>
      </c>
      <c r="H197" s="38" t="s">
        <v>21</v>
      </c>
    </row>
    <row r="198" spans="1:8" ht="30" x14ac:dyDescent="0.2">
      <c r="A198" s="38">
        <v>20.7</v>
      </c>
      <c r="B198" s="35" t="s">
        <v>487</v>
      </c>
      <c r="C198" s="40" t="s">
        <v>490</v>
      </c>
      <c r="D198" s="37" t="s">
        <v>491</v>
      </c>
      <c r="E198" s="37"/>
      <c r="F198" s="38" t="s">
        <v>113</v>
      </c>
      <c r="G198" s="39" t="s">
        <v>459</v>
      </c>
      <c r="H198" s="38" t="s">
        <v>21</v>
      </c>
    </row>
    <row r="199" spans="1:8" ht="30" x14ac:dyDescent="0.2">
      <c r="A199" s="38">
        <v>23.1</v>
      </c>
      <c r="B199" s="35" t="s">
        <v>492</v>
      </c>
      <c r="C199" s="40" t="s">
        <v>493</v>
      </c>
      <c r="D199" s="38" t="s">
        <v>494</v>
      </c>
      <c r="E199" s="38" t="s">
        <v>495</v>
      </c>
      <c r="F199" s="38" t="s">
        <v>88</v>
      </c>
      <c r="G199" s="39" t="s">
        <v>496</v>
      </c>
      <c r="H199" s="38" t="s">
        <v>120</v>
      </c>
    </row>
    <row r="200" spans="1:8" ht="30" x14ac:dyDescent="0.2">
      <c r="A200" s="38">
        <v>23.1</v>
      </c>
      <c r="B200" s="35" t="s">
        <v>492</v>
      </c>
      <c r="C200" s="40" t="s">
        <v>497</v>
      </c>
      <c r="D200" s="38" t="s">
        <v>498</v>
      </c>
      <c r="E200" s="38" t="s">
        <v>495</v>
      </c>
      <c r="F200" s="38" t="s">
        <v>499</v>
      </c>
      <c r="G200" s="39" t="s">
        <v>496</v>
      </c>
      <c r="H200" s="38" t="s">
        <v>120</v>
      </c>
    </row>
    <row r="201" spans="1:8" ht="30" x14ac:dyDescent="0.2">
      <c r="A201" s="38">
        <v>23.2</v>
      </c>
      <c r="B201" s="35" t="s">
        <v>500</v>
      </c>
      <c r="C201" s="40" t="s">
        <v>501</v>
      </c>
      <c r="D201" s="38" t="s">
        <v>502</v>
      </c>
      <c r="E201" s="38" t="s">
        <v>495</v>
      </c>
      <c r="F201" s="38" t="s">
        <v>19</v>
      </c>
      <c r="G201" s="39" t="s">
        <v>496</v>
      </c>
      <c r="H201" s="38" t="s">
        <v>21</v>
      </c>
    </row>
    <row r="202" spans="1:8" ht="45" x14ac:dyDescent="0.2">
      <c r="A202" s="38">
        <v>23.2</v>
      </c>
      <c r="B202" s="35" t="s">
        <v>492</v>
      </c>
      <c r="C202" s="40" t="s">
        <v>503</v>
      </c>
      <c r="D202" s="38" t="s">
        <v>504</v>
      </c>
      <c r="E202" s="38" t="s">
        <v>505</v>
      </c>
      <c r="F202" s="38" t="s">
        <v>4</v>
      </c>
      <c r="G202" s="39" t="s">
        <v>496</v>
      </c>
      <c r="H202" s="38" t="s">
        <v>21</v>
      </c>
    </row>
    <row r="203" spans="1:8" ht="60" x14ac:dyDescent="0.2">
      <c r="A203" s="38">
        <v>23.2</v>
      </c>
      <c r="B203" s="35" t="s">
        <v>492</v>
      </c>
      <c r="C203" s="40" t="s">
        <v>506</v>
      </c>
      <c r="D203" s="38" t="s">
        <v>507</v>
      </c>
      <c r="E203" s="38" t="s">
        <v>508</v>
      </c>
      <c r="F203" s="38" t="s">
        <v>4</v>
      </c>
      <c r="G203" s="39" t="s">
        <v>496</v>
      </c>
      <c r="H203" s="38" t="s">
        <v>21</v>
      </c>
    </row>
    <row r="204" spans="1:8" ht="30" x14ac:dyDescent="0.2">
      <c r="A204" s="38">
        <v>23.2</v>
      </c>
      <c r="B204" s="35" t="s">
        <v>492</v>
      </c>
      <c r="C204" s="40" t="s">
        <v>509</v>
      </c>
      <c r="D204" s="38" t="s">
        <v>510</v>
      </c>
      <c r="E204" s="38" t="s">
        <v>511</v>
      </c>
      <c r="F204" s="38" t="s">
        <v>4</v>
      </c>
      <c r="G204" s="39" t="s">
        <v>496</v>
      </c>
      <c r="H204" s="38" t="s">
        <v>21</v>
      </c>
    </row>
    <row r="205" spans="1:8" ht="30" x14ac:dyDescent="0.2">
      <c r="A205" s="38">
        <v>23.3</v>
      </c>
      <c r="B205" s="35" t="s">
        <v>512</v>
      </c>
      <c r="C205" s="40" t="s">
        <v>513</v>
      </c>
      <c r="D205" s="38" t="s">
        <v>514</v>
      </c>
      <c r="E205" s="38" t="s">
        <v>515</v>
      </c>
      <c r="F205" s="38" t="s">
        <v>42</v>
      </c>
      <c r="G205" s="39" t="s">
        <v>516</v>
      </c>
      <c r="H205" s="38" t="s">
        <v>120</v>
      </c>
    </row>
    <row r="206" spans="1:8" ht="30" x14ac:dyDescent="0.2">
      <c r="A206" s="38">
        <v>23.3</v>
      </c>
      <c r="B206" s="35" t="s">
        <v>512</v>
      </c>
      <c r="C206" s="40" t="s">
        <v>517</v>
      </c>
      <c r="D206" s="38" t="s">
        <v>518</v>
      </c>
      <c r="E206" s="38" t="s">
        <v>515</v>
      </c>
      <c r="F206" s="38" t="s">
        <v>19</v>
      </c>
      <c r="G206" s="39" t="s">
        <v>516</v>
      </c>
      <c r="H206" s="38"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90" zoomScaleNormal="90" workbookViewId="0">
      <pane xSplit="2" ySplit="1" topLeftCell="C2" activePane="bottomRight" state="frozen"/>
      <selection pane="topRight"/>
      <selection pane="bottomLeft"/>
      <selection pane="bottomRight"/>
    </sheetView>
  </sheetViews>
  <sheetFormatPr baseColWidth="10" defaultColWidth="21.85546875" defaultRowHeight="15" x14ac:dyDescent="0.25"/>
  <cols>
    <col min="1" max="1" width="21.85546875" style="63"/>
    <col min="2" max="2" width="21.85546875" style="64"/>
    <col min="3" max="4" width="51.7109375" style="64" customWidth="1"/>
    <col min="5" max="16384" width="21.85546875" style="62"/>
  </cols>
  <sheetData>
    <row r="1" spans="1:4" s="61" customFormat="1" x14ac:dyDescent="0.2">
      <c r="A1" s="65" t="s">
        <v>7</v>
      </c>
      <c r="B1" s="66" t="s">
        <v>9</v>
      </c>
      <c r="C1" s="73" t="s">
        <v>519</v>
      </c>
      <c r="D1" s="65" t="s">
        <v>520</v>
      </c>
    </row>
    <row r="2" spans="1:4" x14ac:dyDescent="0.2">
      <c r="A2" s="67">
        <v>4.0999999999999996</v>
      </c>
      <c r="B2" s="68" t="s">
        <v>16</v>
      </c>
      <c r="C2" s="75"/>
      <c r="D2" s="76"/>
    </row>
    <row r="3" spans="1:4" x14ac:dyDescent="0.2">
      <c r="A3" s="67">
        <v>4.0999999999999996</v>
      </c>
      <c r="B3" s="68" t="s">
        <v>22</v>
      </c>
      <c r="C3" s="74"/>
      <c r="D3" s="69"/>
    </row>
    <row r="4" spans="1:4" x14ac:dyDescent="0.2">
      <c r="A4" s="67">
        <v>4.0999999999999996</v>
      </c>
      <c r="B4" s="68" t="s">
        <v>24</v>
      </c>
      <c r="C4" s="74"/>
      <c r="D4" s="69"/>
    </row>
    <row r="5" spans="1:4" x14ac:dyDescent="0.2">
      <c r="A5" s="67">
        <v>4.0999999999999996</v>
      </c>
      <c r="B5" s="68" t="s">
        <v>26</v>
      </c>
      <c r="C5" s="74"/>
      <c r="D5" s="69"/>
    </row>
    <row r="6" spans="1:4" x14ac:dyDescent="0.2">
      <c r="A6" s="67">
        <v>4.0999999999999996</v>
      </c>
      <c r="B6" s="68" t="s">
        <v>28</v>
      </c>
      <c r="C6" s="74"/>
      <c r="D6" s="69"/>
    </row>
    <row r="7" spans="1:4" x14ac:dyDescent="0.2">
      <c r="A7" s="67">
        <v>4.0999999999999996</v>
      </c>
      <c r="B7" s="68" t="s">
        <v>30</v>
      </c>
      <c r="C7" s="74"/>
      <c r="D7" s="69"/>
    </row>
    <row r="8" spans="1:4" x14ac:dyDescent="0.2">
      <c r="A8" s="67">
        <v>4.0999999999999996</v>
      </c>
      <c r="B8" s="68" t="s">
        <v>32</v>
      </c>
      <c r="C8" s="74"/>
      <c r="D8" s="69"/>
    </row>
    <row r="9" spans="1:4" x14ac:dyDescent="0.2">
      <c r="A9" s="67">
        <v>4.0999999999999996</v>
      </c>
      <c r="B9" s="68" t="s">
        <v>34</v>
      </c>
      <c r="C9" s="74"/>
      <c r="D9" s="69"/>
    </row>
    <row r="10" spans="1:4" x14ac:dyDescent="0.2">
      <c r="A10" s="67">
        <v>4.0999999999999996</v>
      </c>
      <c r="B10" s="68" t="s">
        <v>5</v>
      </c>
      <c r="C10" s="74"/>
      <c r="D10" s="69"/>
    </row>
    <row r="11" spans="1:4" x14ac:dyDescent="0.2">
      <c r="A11" s="67">
        <v>4.0999999999999996</v>
      </c>
      <c r="B11" s="68" t="s">
        <v>37</v>
      </c>
      <c r="C11" s="74"/>
      <c r="D11" s="69"/>
    </row>
    <row r="12" spans="1:4" x14ac:dyDescent="0.2">
      <c r="A12" s="70">
        <v>4.2</v>
      </c>
      <c r="B12" s="68" t="s">
        <v>40</v>
      </c>
      <c r="C12" s="74"/>
      <c r="D12" s="69"/>
    </row>
    <row r="13" spans="1:4" x14ac:dyDescent="0.2">
      <c r="A13" s="71">
        <v>4.3</v>
      </c>
      <c r="B13" s="68" t="s">
        <v>44</v>
      </c>
      <c r="C13" s="74"/>
      <c r="D13" s="69"/>
    </row>
    <row r="14" spans="1:4" x14ac:dyDescent="0.2">
      <c r="A14" s="71">
        <v>4.3</v>
      </c>
      <c r="B14" s="68" t="s">
        <v>48</v>
      </c>
      <c r="C14" s="74"/>
      <c r="D14" s="69"/>
    </row>
    <row r="15" spans="1:4" x14ac:dyDescent="0.2">
      <c r="A15" s="71">
        <v>4.3</v>
      </c>
      <c r="B15" s="68" t="s">
        <v>50</v>
      </c>
      <c r="C15" s="74"/>
      <c r="D15" s="69"/>
    </row>
    <row r="16" spans="1:4" x14ac:dyDescent="0.25">
      <c r="A16" s="71">
        <v>4.3</v>
      </c>
      <c r="B16" s="72" t="s">
        <v>52</v>
      </c>
      <c r="C16" s="74"/>
      <c r="D16" s="69"/>
    </row>
    <row r="17" spans="1:4" x14ac:dyDescent="0.25">
      <c r="A17" s="71">
        <v>4.3</v>
      </c>
      <c r="B17" s="72" t="s">
        <v>54</v>
      </c>
      <c r="C17" s="74"/>
      <c r="D17" s="69"/>
    </row>
    <row r="18" spans="1:4" x14ac:dyDescent="0.25">
      <c r="A18" s="71">
        <v>4.3</v>
      </c>
      <c r="B18" s="72" t="s">
        <v>56</v>
      </c>
      <c r="C18" s="74"/>
      <c r="D18" s="69"/>
    </row>
    <row r="19" spans="1:4" x14ac:dyDescent="0.25">
      <c r="A19" s="71">
        <v>4.3</v>
      </c>
      <c r="B19" s="72" t="s">
        <v>58</v>
      </c>
      <c r="C19" s="74"/>
      <c r="D19" s="69"/>
    </row>
    <row r="20" spans="1:4" x14ac:dyDescent="0.25">
      <c r="A20" s="71">
        <v>4.3</v>
      </c>
      <c r="B20" s="72" t="s">
        <v>60</v>
      </c>
      <c r="C20" s="74"/>
      <c r="D20" s="69"/>
    </row>
    <row r="21" spans="1:4" x14ac:dyDescent="0.25">
      <c r="A21" s="71">
        <v>4.3</v>
      </c>
      <c r="B21" s="72" t="s">
        <v>62</v>
      </c>
      <c r="C21" s="74"/>
      <c r="D21" s="69"/>
    </row>
    <row r="22" spans="1:4" x14ac:dyDescent="0.25">
      <c r="A22" s="71">
        <v>4.3</v>
      </c>
      <c r="B22" s="72" t="s">
        <v>64</v>
      </c>
      <c r="C22" s="74"/>
      <c r="D22" s="69"/>
    </row>
    <row r="23" spans="1:4" x14ac:dyDescent="0.25">
      <c r="A23" s="71">
        <v>4.3</v>
      </c>
      <c r="B23" s="72" t="s">
        <v>66</v>
      </c>
      <c r="C23" s="74"/>
      <c r="D23" s="69"/>
    </row>
    <row r="24" spans="1:4" x14ac:dyDescent="0.25">
      <c r="A24" s="71">
        <v>4.3</v>
      </c>
      <c r="B24" s="72" t="s">
        <v>68</v>
      </c>
      <c r="C24" s="74"/>
      <c r="D24" s="69"/>
    </row>
    <row r="25" spans="1:4" x14ac:dyDescent="0.25">
      <c r="A25" s="71">
        <v>4.3</v>
      </c>
      <c r="B25" s="72" t="s">
        <v>70</v>
      </c>
      <c r="C25" s="74"/>
      <c r="D25" s="69"/>
    </row>
    <row r="26" spans="1:4" x14ac:dyDescent="0.25">
      <c r="A26" s="71">
        <v>4.3</v>
      </c>
      <c r="B26" s="72" t="s">
        <v>72</v>
      </c>
      <c r="C26" s="74"/>
      <c r="D26" s="69"/>
    </row>
    <row r="27" spans="1:4" x14ac:dyDescent="0.25">
      <c r="A27" s="71">
        <v>4.3</v>
      </c>
      <c r="B27" s="72" t="s">
        <v>75</v>
      </c>
      <c r="C27" s="74"/>
      <c r="D27" s="69"/>
    </row>
    <row r="28" spans="1:4" x14ac:dyDescent="0.25">
      <c r="A28" s="71">
        <v>4.4000000000000004</v>
      </c>
      <c r="B28" s="72" t="s">
        <v>78</v>
      </c>
      <c r="C28" s="74"/>
      <c r="D28" s="69"/>
    </row>
    <row r="29" spans="1:4" x14ac:dyDescent="0.25">
      <c r="A29" s="71">
        <v>4.4000000000000004</v>
      </c>
      <c r="B29" s="72" t="s">
        <v>6</v>
      </c>
      <c r="C29" s="74"/>
      <c r="D29" s="69"/>
    </row>
    <row r="30" spans="1:4" x14ac:dyDescent="0.25">
      <c r="A30" s="71">
        <v>4.4000000000000004</v>
      </c>
      <c r="B30" s="72" t="s">
        <v>81</v>
      </c>
      <c r="C30" s="74"/>
      <c r="D30" s="69"/>
    </row>
    <row r="31" spans="1:4" x14ac:dyDescent="0.25">
      <c r="A31" s="71">
        <v>4.4000000000000004</v>
      </c>
      <c r="B31" s="72" t="s">
        <v>86</v>
      </c>
      <c r="C31" s="74"/>
      <c r="D31" s="69"/>
    </row>
    <row r="32" spans="1:4" x14ac:dyDescent="0.25">
      <c r="A32" s="71">
        <v>4.4000000000000004</v>
      </c>
      <c r="B32" s="72" t="s">
        <v>89</v>
      </c>
      <c r="C32" s="74"/>
      <c r="D32" s="69"/>
    </row>
    <row r="33" spans="1:4" x14ac:dyDescent="0.25">
      <c r="A33" s="71">
        <v>4.4000000000000004</v>
      </c>
      <c r="B33" s="72" t="s">
        <v>93</v>
      </c>
      <c r="C33" s="74"/>
      <c r="D33" s="69"/>
    </row>
    <row r="34" spans="1:4" x14ac:dyDescent="0.25">
      <c r="A34" s="71">
        <v>4.4000000000000004</v>
      </c>
      <c r="B34" s="72" t="s">
        <v>95</v>
      </c>
      <c r="C34" s="74"/>
      <c r="D34" s="69"/>
    </row>
    <row r="35" spans="1:4" x14ac:dyDescent="0.25">
      <c r="A35" s="71">
        <v>4.4000000000000004</v>
      </c>
      <c r="B35" s="72" t="s">
        <v>97</v>
      </c>
      <c r="C35" s="74"/>
      <c r="D35" s="69"/>
    </row>
    <row r="36" spans="1:4" x14ac:dyDescent="0.25">
      <c r="A36" s="71">
        <v>4.4000000000000004</v>
      </c>
      <c r="B36" s="72" t="s">
        <v>99</v>
      </c>
      <c r="C36" s="74"/>
      <c r="D36" s="69"/>
    </row>
    <row r="37" spans="1:4" x14ac:dyDescent="0.25">
      <c r="A37" s="71">
        <v>4.4000000000000004</v>
      </c>
      <c r="B37" s="72" t="s">
        <v>102</v>
      </c>
      <c r="C37" s="74"/>
      <c r="D37" s="69"/>
    </row>
    <row r="38" spans="1:4" x14ac:dyDescent="0.25">
      <c r="A38" s="70">
        <v>5.0999999999999996</v>
      </c>
      <c r="B38" s="72" t="s">
        <v>105</v>
      </c>
      <c r="C38" s="74"/>
      <c r="D38" s="69"/>
    </row>
    <row r="39" spans="1:4" x14ac:dyDescent="0.25">
      <c r="A39" s="70">
        <v>5.2</v>
      </c>
      <c r="B39" s="72" t="s">
        <v>109</v>
      </c>
      <c r="C39" s="74"/>
      <c r="D39" s="69"/>
    </row>
    <row r="40" spans="1:4" x14ac:dyDescent="0.25">
      <c r="A40" s="70">
        <v>5.3</v>
      </c>
      <c r="B40" s="72" t="s">
        <v>111</v>
      </c>
      <c r="C40" s="74"/>
      <c r="D40" s="69"/>
    </row>
    <row r="41" spans="1:4" x14ac:dyDescent="0.25">
      <c r="A41" s="70">
        <v>5.3</v>
      </c>
      <c r="B41" s="72" t="s">
        <v>114</v>
      </c>
      <c r="C41" s="74"/>
      <c r="D41" s="69"/>
    </row>
    <row r="42" spans="1:4" x14ac:dyDescent="0.25">
      <c r="A42" s="70">
        <v>5.3</v>
      </c>
      <c r="B42" s="72" t="s">
        <v>116</v>
      </c>
      <c r="C42" s="74"/>
      <c r="D42" s="69"/>
    </row>
    <row r="43" spans="1:4" x14ac:dyDescent="0.25">
      <c r="A43" s="70">
        <v>5.3</v>
      </c>
      <c r="B43" s="72" t="s">
        <v>118</v>
      </c>
      <c r="C43" s="74"/>
      <c r="D43" s="69"/>
    </row>
    <row r="44" spans="1:4" x14ac:dyDescent="0.25">
      <c r="A44" s="70">
        <v>6.1</v>
      </c>
      <c r="B44" s="72" t="s">
        <v>122</v>
      </c>
      <c r="C44" s="74"/>
      <c r="D44" s="69"/>
    </row>
    <row r="45" spans="1:4" x14ac:dyDescent="0.25">
      <c r="A45" s="70">
        <v>6.2</v>
      </c>
      <c r="B45" s="72" t="s">
        <v>127</v>
      </c>
      <c r="C45" s="74"/>
      <c r="D45" s="69"/>
    </row>
    <row r="46" spans="1:4" x14ac:dyDescent="0.25">
      <c r="A46" s="70">
        <v>6.2</v>
      </c>
      <c r="B46" s="72" t="s">
        <v>131</v>
      </c>
      <c r="C46" s="74"/>
      <c r="D46" s="69"/>
    </row>
    <row r="47" spans="1:4" x14ac:dyDescent="0.25">
      <c r="A47" s="70">
        <v>6.2</v>
      </c>
      <c r="B47" s="72" t="s">
        <v>133</v>
      </c>
      <c r="C47" s="74"/>
      <c r="D47" s="69"/>
    </row>
    <row r="48" spans="1:4" x14ac:dyDescent="0.25">
      <c r="A48" s="70">
        <v>6.2</v>
      </c>
      <c r="B48" s="72" t="s">
        <v>135</v>
      </c>
      <c r="C48" s="74"/>
      <c r="D48" s="69"/>
    </row>
    <row r="49" spans="1:4" x14ac:dyDescent="0.25">
      <c r="A49" s="70">
        <v>6.2</v>
      </c>
      <c r="B49" s="72" t="s">
        <v>137</v>
      </c>
      <c r="C49" s="74"/>
      <c r="D49" s="69"/>
    </row>
    <row r="50" spans="1:4" x14ac:dyDescent="0.25">
      <c r="A50" s="70">
        <v>6.2</v>
      </c>
      <c r="B50" s="72" t="s">
        <v>139</v>
      </c>
      <c r="C50" s="74"/>
      <c r="D50" s="69"/>
    </row>
    <row r="51" spans="1:4" x14ac:dyDescent="0.25">
      <c r="A51" s="70">
        <v>6.2</v>
      </c>
      <c r="B51" s="72" t="s">
        <v>141</v>
      </c>
      <c r="C51" s="74"/>
      <c r="D51" s="69"/>
    </row>
    <row r="52" spans="1:4" x14ac:dyDescent="0.25">
      <c r="A52" s="70">
        <v>6.2</v>
      </c>
      <c r="B52" s="72" t="s">
        <v>143</v>
      </c>
      <c r="C52" s="74"/>
      <c r="D52" s="69"/>
    </row>
    <row r="53" spans="1:4" x14ac:dyDescent="0.25">
      <c r="A53" s="70">
        <v>6.2</v>
      </c>
      <c r="B53" s="72" t="s">
        <v>145</v>
      </c>
      <c r="C53" s="74"/>
      <c r="D53" s="69"/>
    </row>
    <row r="54" spans="1:4" x14ac:dyDescent="0.25">
      <c r="A54" s="70">
        <v>6.2</v>
      </c>
      <c r="B54" s="72" t="s">
        <v>147</v>
      </c>
      <c r="C54" s="74"/>
      <c r="D54" s="69"/>
    </row>
    <row r="55" spans="1:4" x14ac:dyDescent="0.25">
      <c r="A55" s="70">
        <v>6.2</v>
      </c>
      <c r="B55" s="72" t="s">
        <v>149</v>
      </c>
      <c r="C55" s="74"/>
      <c r="D55" s="69"/>
    </row>
    <row r="56" spans="1:4" x14ac:dyDescent="0.25">
      <c r="A56" s="70">
        <v>6.2</v>
      </c>
      <c r="B56" s="72" t="s">
        <v>151</v>
      </c>
      <c r="C56" s="74"/>
      <c r="D56" s="69"/>
    </row>
    <row r="57" spans="1:4" x14ac:dyDescent="0.25">
      <c r="A57" s="70">
        <v>6.2</v>
      </c>
      <c r="B57" s="72" t="s">
        <v>153</v>
      </c>
      <c r="C57" s="74"/>
      <c r="D57" s="69"/>
    </row>
    <row r="58" spans="1:4" x14ac:dyDescent="0.25">
      <c r="A58" s="70">
        <v>6.2</v>
      </c>
      <c r="B58" s="72" t="s">
        <v>155</v>
      </c>
      <c r="C58" s="74"/>
      <c r="D58" s="69"/>
    </row>
    <row r="59" spans="1:4" x14ac:dyDescent="0.25">
      <c r="A59" s="70">
        <v>6.2</v>
      </c>
      <c r="B59" s="72" t="s">
        <v>157</v>
      </c>
      <c r="C59" s="74"/>
      <c r="D59" s="69"/>
    </row>
    <row r="60" spans="1:4" x14ac:dyDescent="0.25">
      <c r="A60" s="70">
        <v>6.3</v>
      </c>
      <c r="B60" s="72" t="s">
        <v>161</v>
      </c>
      <c r="C60" s="74"/>
      <c r="D60" s="69"/>
    </row>
    <row r="61" spans="1:4" x14ac:dyDescent="0.25">
      <c r="A61" s="70">
        <v>6.4</v>
      </c>
      <c r="B61" s="72" t="s">
        <v>164</v>
      </c>
      <c r="C61" s="74"/>
      <c r="D61" s="69"/>
    </row>
    <row r="62" spans="1:4" x14ac:dyDescent="0.25">
      <c r="A62" s="70">
        <v>6.4</v>
      </c>
      <c r="B62" s="72" t="s">
        <v>166</v>
      </c>
      <c r="C62" s="74"/>
      <c r="D62" s="69"/>
    </row>
    <row r="63" spans="1:4" x14ac:dyDescent="0.25">
      <c r="A63" s="70">
        <v>6.4</v>
      </c>
      <c r="B63" s="72" t="s">
        <v>169</v>
      </c>
      <c r="C63" s="74"/>
      <c r="D63" s="69"/>
    </row>
    <row r="64" spans="1:4" x14ac:dyDescent="0.25">
      <c r="A64" s="70">
        <v>6.4</v>
      </c>
      <c r="B64" s="72" t="s">
        <v>171</v>
      </c>
      <c r="C64" s="74"/>
      <c r="D64" s="69"/>
    </row>
    <row r="65" spans="1:4" x14ac:dyDescent="0.25">
      <c r="A65" s="70">
        <v>6.4</v>
      </c>
      <c r="B65" s="72" t="s">
        <v>173</v>
      </c>
      <c r="C65" s="74"/>
      <c r="D65" s="69"/>
    </row>
    <row r="66" spans="1:4" x14ac:dyDescent="0.25">
      <c r="A66" s="70">
        <v>6.4</v>
      </c>
      <c r="B66" s="72" t="s">
        <v>175</v>
      </c>
      <c r="C66" s="74"/>
      <c r="D66" s="69"/>
    </row>
    <row r="67" spans="1:4" x14ac:dyDescent="0.25">
      <c r="A67" s="70">
        <v>6.4</v>
      </c>
      <c r="B67" s="72" t="s">
        <v>177</v>
      </c>
      <c r="C67" s="74"/>
      <c r="D67" s="69"/>
    </row>
    <row r="68" spans="1:4" x14ac:dyDescent="0.25">
      <c r="A68" s="70">
        <v>6.4</v>
      </c>
      <c r="B68" s="72" t="s">
        <v>179</v>
      </c>
      <c r="C68" s="74"/>
      <c r="D68" s="69"/>
    </row>
    <row r="69" spans="1:4" x14ac:dyDescent="0.25">
      <c r="A69" s="70">
        <v>6.4</v>
      </c>
      <c r="B69" s="72" t="s">
        <v>181</v>
      </c>
      <c r="C69" s="74"/>
      <c r="D69" s="69"/>
    </row>
    <row r="70" spans="1:4" x14ac:dyDescent="0.25">
      <c r="A70" s="70">
        <v>6.4</v>
      </c>
      <c r="B70" s="72" t="s">
        <v>183</v>
      </c>
      <c r="C70" s="74"/>
      <c r="D70" s="69"/>
    </row>
    <row r="71" spans="1:4" x14ac:dyDescent="0.25">
      <c r="A71" s="70">
        <v>6.4</v>
      </c>
      <c r="B71" s="72" t="s">
        <v>185</v>
      </c>
      <c r="C71" s="74"/>
      <c r="D71" s="69"/>
    </row>
    <row r="72" spans="1:4" x14ac:dyDescent="0.25">
      <c r="A72" s="70">
        <v>6.4</v>
      </c>
      <c r="B72" s="72" t="s">
        <v>187</v>
      </c>
      <c r="C72" s="74"/>
      <c r="D72" s="69"/>
    </row>
    <row r="73" spans="1:4" x14ac:dyDescent="0.25">
      <c r="A73" s="70">
        <v>6.4</v>
      </c>
      <c r="B73" s="72" t="s">
        <v>189</v>
      </c>
      <c r="C73" s="74"/>
      <c r="D73" s="69"/>
    </row>
    <row r="74" spans="1:4" x14ac:dyDescent="0.25">
      <c r="A74" s="70">
        <v>6.4</v>
      </c>
      <c r="B74" s="72" t="s">
        <v>191</v>
      </c>
      <c r="C74" s="74"/>
      <c r="D74" s="69"/>
    </row>
    <row r="75" spans="1:4" x14ac:dyDescent="0.25">
      <c r="A75" s="70">
        <v>6.4</v>
      </c>
      <c r="B75" s="72" t="s">
        <v>193</v>
      </c>
      <c r="C75" s="74"/>
      <c r="D75" s="69"/>
    </row>
    <row r="76" spans="1:4" x14ac:dyDescent="0.25">
      <c r="A76" s="70">
        <v>6.5</v>
      </c>
      <c r="B76" s="72" t="s">
        <v>196</v>
      </c>
      <c r="C76" s="74"/>
      <c r="D76" s="69"/>
    </row>
    <row r="77" spans="1:4" x14ac:dyDescent="0.25">
      <c r="A77" s="70">
        <v>6.5</v>
      </c>
      <c r="B77" s="72" t="s">
        <v>199</v>
      </c>
      <c r="C77" s="74"/>
      <c r="D77" s="69"/>
    </row>
    <row r="78" spans="1:4" x14ac:dyDescent="0.25">
      <c r="A78" s="70">
        <v>6.5</v>
      </c>
      <c r="B78" s="72" t="s">
        <v>201</v>
      </c>
      <c r="C78" s="74"/>
      <c r="D78" s="69"/>
    </row>
    <row r="79" spans="1:4" x14ac:dyDescent="0.25">
      <c r="A79" s="70">
        <v>6.5</v>
      </c>
      <c r="B79" s="72" t="s">
        <v>203</v>
      </c>
      <c r="C79" s="74"/>
      <c r="D79" s="69"/>
    </row>
    <row r="80" spans="1:4" x14ac:dyDescent="0.25">
      <c r="A80" s="70">
        <v>6.5</v>
      </c>
      <c r="B80" s="72" t="s">
        <v>205</v>
      </c>
      <c r="C80" s="74"/>
      <c r="D80" s="69"/>
    </row>
    <row r="81" spans="1:4" x14ac:dyDescent="0.25">
      <c r="A81" s="70">
        <v>6.5</v>
      </c>
      <c r="B81" s="72" t="s">
        <v>207</v>
      </c>
      <c r="C81" s="74"/>
      <c r="D81" s="69"/>
    </row>
    <row r="82" spans="1:4" x14ac:dyDescent="0.25">
      <c r="A82" s="70">
        <v>6.5</v>
      </c>
      <c r="B82" s="72" t="s">
        <v>210</v>
      </c>
      <c r="C82" s="74"/>
      <c r="D82" s="69"/>
    </row>
    <row r="83" spans="1:4" x14ac:dyDescent="0.25">
      <c r="A83" s="70">
        <v>6.6</v>
      </c>
      <c r="B83" s="72" t="s">
        <v>213</v>
      </c>
      <c r="C83" s="74"/>
      <c r="D83" s="69"/>
    </row>
    <row r="84" spans="1:4" x14ac:dyDescent="0.25">
      <c r="A84" s="70">
        <v>6.7</v>
      </c>
      <c r="B84" s="72" t="s">
        <v>215</v>
      </c>
      <c r="C84" s="74"/>
      <c r="D84" s="69"/>
    </row>
    <row r="85" spans="1:4" x14ac:dyDescent="0.25">
      <c r="A85" s="70">
        <v>6.8</v>
      </c>
      <c r="B85" s="72" t="s">
        <v>217</v>
      </c>
      <c r="C85" s="74"/>
      <c r="D85" s="69"/>
    </row>
    <row r="86" spans="1:4" x14ac:dyDescent="0.25">
      <c r="A86" s="70">
        <v>7.1</v>
      </c>
      <c r="B86" s="72" t="s">
        <v>219</v>
      </c>
      <c r="C86" s="74"/>
      <c r="D86" s="69"/>
    </row>
    <row r="87" spans="1:4" x14ac:dyDescent="0.25">
      <c r="A87" s="70">
        <v>7.1</v>
      </c>
      <c r="B87" s="72" t="s">
        <v>221</v>
      </c>
      <c r="C87" s="74"/>
      <c r="D87" s="69"/>
    </row>
    <row r="88" spans="1:4" x14ac:dyDescent="0.25">
      <c r="A88" s="70">
        <v>7.1</v>
      </c>
      <c r="B88" s="72" t="s">
        <v>225</v>
      </c>
      <c r="C88" s="74"/>
      <c r="D88" s="69"/>
    </row>
    <row r="89" spans="1:4" x14ac:dyDescent="0.25">
      <c r="A89" s="70">
        <v>7.1</v>
      </c>
      <c r="B89" s="72" t="s">
        <v>227</v>
      </c>
      <c r="C89" s="74"/>
      <c r="D89" s="69"/>
    </row>
    <row r="90" spans="1:4" x14ac:dyDescent="0.25">
      <c r="A90" s="70">
        <v>7.1</v>
      </c>
      <c r="B90" s="72" t="s">
        <v>229</v>
      </c>
      <c r="C90" s="74"/>
      <c r="D90" s="69"/>
    </row>
    <row r="91" spans="1:4" x14ac:dyDescent="0.25">
      <c r="A91" s="70">
        <v>7.1</v>
      </c>
      <c r="B91" s="72" t="s">
        <v>231</v>
      </c>
      <c r="C91" s="74"/>
      <c r="D91" s="69"/>
    </row>
    <row r="92" spans="1:4" x14ac:dyDescent="0.25">
      <c r="A92" s="70">
        <v>7.1</v>
      </c>
      <c r="B92" s="72" t="s">
        <v>233</v>
      </c>
      <c r="C92" s="74"/>
      <c r="D92" s="69"/>
    </row>
    <row r="93" spans="1:4" x14ac:dyDescent="0.25">
      <c r="A93" s="70">
        <v>7.1</v>
      </c>
      <c r="B93" s="72" t="s">
        <v>235</v>
      </c>
      <c r="C93" s="74"/>
      <c r="D93" s="69"/>
    </row>
    <row r="94" spans="1:4" x14ac:dyDescent="0.25">
      <c r="A94" s="70">
        <v>7.1</v>
      </c>
      <c r="B94" s="72" t="s">
        <v>237</v>
      </c>
      <c r="C94" s="74"/>
      <c r="D94" s="69"/>
    </row>
    <row r="95" spans="1:4" x14ac:dyDescent="0.25">
      <c r="A95" s="70">
        <v>7.1</v>
      </c>
      <c r="B95" s="72" t="s">
        <v>239</v>
      </c>
      <c r="C95" s="74"/>
      <c r="D95" s="69"/>
    </row>
    <row r="96" spans="1:4" x14ac:dyDescent="0.25">
      <c r="A96" s="70">
        <v>7.1</v>
      </c>
      <c r="B96" s="72" t="s">
        <v>241</v>
      </c>
      <c r="C96" s="74"/>
      <c r="D96" s="69"/>
    </row>
    <row r="97" spans="1:4" x14ac:dyDescent="0.25">
      <c r="A97" s="70">
        <v>7.2</v>
      </c>
      <c r="B97" s="72" t="s">
        <v>244</v>
      </c>
      <c r="C97" s="74"/>
      <c r="D97" s="69"/>
    </row>
    <row r="98" spans="1:4" x14ac:dyDescent="0.25">
      <c r="A98" s="70">
        <v>7.3</v>
      </c>
      <c r="B98" s="72" t="s">
        <v>246</v>
      </c>
      <c r="C98" s="74"/>
      <c r="D98" s="69"/>
    </row>
    <row r="99" spans="1:4" x14ac:dyDescent="0.25">
      <c r="A99" s="70">
        <v>7.3</v>
      </c>
      <c r="B99" s="72" t="s">
        <v>250</v>
      </c>
      <c r="C99" s="74"/>
      <c r="D99" s="69"/>
    </row>
    <row r="100" spans="1:4" x14ac:dyDescent="0.25">
      <c r="A100" s="70">
        <v>7.3</v>
      </c>
      <c r="B100" s="72" t="s">
        <v>252</v>
      </c>
      <c r="C100" s="74"/>
      <c r="D100" s="69"/>
    </row>
    <row r="101" spans="1:4" x14ac:dyDescent="0.25">
      <c r="A101" s="70">
        <v>7.3</v>
      </c>
      <c r="B101" s="72" t="s">
        <v>255</v>
      </c>
      <c r="C101" s="74"/>
      <c r="D101" s="69"/>
    </row>
    <row r="102" spans="1:4" x14ac:dyDescent="0.25">
      <c r="A102" s="70">
        <v>7.3</v>
      </c>
      <c r="B102" s="72" t="s">
        <v>257</v>
      </c>
      <c r="C102" s="74"/>
      <c r="D102" s="69"/>
    </row>
    <row r="103" spans="1:4" x14ac:dyDescent="0.25">
      <c r="A103" s="70">
        <v>7.3</v>
      </c>
      <c r="B103" s="72" t="s">
        <v>259</v>
      </c>
      <c r="C103" s="74"/>
      <c r="D103" s="69"/>
    </row>
    <row r="104" spans="1:4" x14ac:dyDescent="0.25">
      <c r="A104" s="70">
        <v>7.3</v>
      </c>
      <c r="B104" s="72" t="s">
        <v>263</v>
      </c>
      <c r="C104" s="74"/>
      <c r="D104" s="69"/>
    </row>
    <row r="105" spans="1:4" x14ac:dyDescent="0.25">
      <c r="A105" s="70">
        <v>12.1</v>
      </c>
      <c r="B105" s="72" t="s">
        <v>266</v>
      </c>
      <c r="C105" s="74"/>
      <c r="D105" s="69"/>
    </row>
    <row r="106" spans="1:4" x14ac:dyDescent="0.25">
      <c r="A106" s="70">
        <v>12.1</v>
      </c>
      <c r="B106" s="72" t="s">
        <v>268</v>
      </c>
      <c r="C106" s="74"/>
      <c r="D106" s="69"/>
    </row>
    <row r="107" spans="1:4" x14ac:dyDescent="0.25">
      <c r="A107" s="70">
        <v>12.1</v>
      </c>
      <c r="B107" s="72" t="s">
        <v>270</v>
      </c>
      <c r="C107" s="74"/>
      <c r="D107" s="69"/>
    </row>
    <row r="108" spans="1:4" x14ac:dyDescent="0.25">
      <c r="A108" s="70">
        <v>12.2</v>
      </c>
      <c r="B108" s="72" t="s">
        <v>273</v>
      </c>
      <c r="C108" s="74"/>
      <c r="D108" s="69"/>
    </row>
    <row r="109" spans="1:4" x14ac:dyDescent="0.25">
      <c r="A109" s="70">
        <v>12.2</v>
      </c>
      <c r="B109" s="72" t="s">
        <v>275</v>
      </c>
      <c r="C109" s="74"/>
      <c r="D109" s="69"/>
    </row>
    <row r="110" spans="1:4" x14ac:dyDescent="0.25">
      <c r="A110" s="70">
        <v>12.2</v>
      </c>
      <c r="B110" s="72" t="s">
        <v>277</v>
      </c>
      <c r="C110" s="74"/>
      <c r="D110" s="69"/>
    </row>
    <row r="111" spans="1:4" x14ac:dyDescent="0.25">
      <c r="A111" s="70">
        <v>13.1</v>
      </c>
      <c r="B111" s="72" t="s">
        <v>280</v>
      </c>
      <c r="C111" s="74"/>
      <c r="D111" s="69"/>
    </row>
    <row r="112" spans="1:4" x14ac:dyDescent="0.25">
      <c r="A112" s="70">
        <v>13.1</v>
      </c>
      <c r="B112" s="72" t="s">
        <v>283</v>
      </c>
      <c r="C112" s="74"/>
      <c r="D112" s="69"/>
    </row>
    <row r="113" spans="1:4" x14ac:dyDescent="0.25">
      <c r="A113" s="70">
        <v>13.1</v>
      </c>
      <c r="B113" s="72" t="s">
        <v>285</v>
      </c>
      <c r="C113" s="74"/>
      <c r="D113" s="69"/>
    </row>
    <row r="114" spans="1:4" x14ac:dyDescent="0.25">
      <c r="A114" s="70">
        <v>13.1</v>
      </c>
      <c r="B114" s="72" t="s">
        <v>287</v>
      </c>
      <c r="C114" s="74"/>
      <c r="D114" s="69"/>
    </row>
    <row r="115" spans="1:4" x14ac:dyDescent="0.25">
      <c r="A115" s="70">
        <v>13.1</v>
      </c>
      <c r="B115" s="72" t="s">
        <v>290</v>
      </c>
      <c r="C115" s="74"/>
      <c r="D115" s="69"/>
    </row>
    <row r="116" spans="1:4" x14ac:dyDescent="0.25">
      <c r="A116" s="70">
        <v>14.1</v>
      </c>
      <c r="B116" s="72" t="s">
        <v>293</v>
      </c>
      <c r="C116" s="74"/>
      <c r="D116" s="69"/>
    </row>
    <row r="117" spans="1:4" x14ac:dyDescent="0.25">
      <c r="A117" s="70">
        <v>14.1</v>
      </c>
      <c r="B117" s="72" t="s">
        <v>295</v>
      </c>
      <c r="C117" s="74"/>
      <c r="D117" s="69"/>
    </row>
    <row r="118" spans="1:4" x14ac:dyDescent="0.25">
      <c r="A118" s="70">
        <v>14.1</v>
      </c>
      <c r="B118" s="72" t="s">
        <v>297</v>
      </c>
      <c r="C118" s="74"/>
      <c r="D118" s="69"/>
    </row>
    <row r="119" spans="1:4" x14ac:dyDescent="0.25">
      <c r="A119" s="70">
        <v>14.1</v>
      </c>
      <c r="B119" s="72" t="s">
        <v>299</v>
      </c>
      <c r="C119" s="74"/>
      <c r="D119" s="69"/>
    </row>
    <row r="120" spans="1:4" x14ac:dyDescent="0.25">
      <c r="A120" s="70">
        <v>15.1</v>
      </c>
      <c r="B120" s="72" t="s">
        <v>302</v>
      </c>
      <c r="C120" s="74"/>
      <c r="D120" s="69"/>
    </row>
    <row r="121" spans="1:4" x14ac:dyDescent="0.25">
      <c r="A121" s="70">
        <v>15.1</v>
      </c>
      <c r="B121" s="72" t="s">
        <v>305</v>
      </c>
      <c r="C121" s="74"/>
      <c r="D121" s="69"/>
    </row>
    <row r="122" spans="1:4" x14ac:dyDescent="0.25">
      <c r="A122" s="70">
        <v>15.2</v>
      </c>
      <c r="B122" s="72" t="s">
        <v>308</v>
      </c>
      <c r="C122" s="74"/>
      <c r="D122" s="69"/>
    </row>
    <row r="123" spans="1:4" x14ac:dyDescent="0.25">
      <c r="A123" s="70">
        <v>15.2</v>
      </c>
      <c r="B123" s="72" t="s">
        <v>310</v>
      </c>
      <c r="C123" s="74"/>
      <c r="D123" s="69"/>
    </row>
    <row r="124" spans="1:4" x14ac:dyDescent="0.25">
      <c r="A124" s="70">
        <v>15.2</v>
      </c>
      <c r="B124" s="72" t="s">
        <v>312</v>
      </c>
      <c r="C124" s="74"/>
      <c r="D124" s="69"/>
    </row>
    <row r="125" spans="1:4" x14ac:dyDescent="0.25">
      <c r="A125" s="70">
        <v>15.2</v>
      </c>
      <c r="B125" s="72" t="s">
        <v>314</v>
      </c>
      <c r="C125" s="74"/>
      <c r="D125" s="69"/>
    </row>
    <row r="126" spans="1:4" x14ac:dyDescent="0.25">
      <c r="A126" s="70">
        <v>15.2</v>
      </c>
      <c r="B126" s="72" t="s">
        <v>316</v>
      </c>
      <c r="C126" s="74"/>
      <c r="D126" s="69"/>
    </row>
    <row r="127" spans="1:4" x14ac:dyDescent="0.25">
      <c r="A127" s="70">
        <v>15.2</v>
      </c>
      <c r="B127" s="72" t="s">
        <v>318</v>
      </c>
      <c r="C127" s="74"/>
      <c r="D127" s="69"/>
    </row>
    <row r="128" spans="1:4" x14ac:dyDescent="0.25">
      <c r="A128" s="70">
        <v>15.2</v>
      </c>
      <c r="B128" s="72" t="s">
        <v>320</v>
      </c>
      <c r="C128" s="74"/>
      <c r="D128" s="69"/>
    </row>
    <row r="129" spans="1:4" x14ac:dyDescent="0.25">
      <c r="A129" s="70">
        <v>15.3</v>
      </c>
      <c r="B129" s="72" t="s">
        <v>323</v>
      </c>
      <c r="C129" s="74"/>
      <c r="D129" s="69"/>
    </row>
    <row r="130" spans="1:4" x14ac:dyDescent="0.25">
      <c r="A130" s="70">
        <v>15.3</v>
      </c>
      <c r="B130" s="72" t="s">
        <v>325</v>
      </c>
      <c r="C130" s="74"/>
      <c r="D130" s="69"/>
    </row>
    <row r="131" spans="1:4" x14ac:dyDescent="0.25">
      <c r="A131" s="70">
        <v>16.100000000000001</v>
      </c>
      <c r="B131" s="72" t="s">
        <v>328</v>
      </c>
      <c r="C131" s="74"/>
      <c r="D131" s="69"/>
    </row>
    <row r="132" spans="1:4" x14ac:dyDescent="0.25">
      <c r="A132" s="70">
        <v>16.100000000000001</v>
      </c>
      <c r="B132" s="72" t="s">
        <v>330</v>
      </c>
      <c r="C132" s="74"/>
      <c r="D132" s="69"/>
    </row>
    <row r="133" spans="1:4" x14ac:dyDescent="0.25">
      <c r="A133" s="70">
        <v>16.2</v>
      </c>
      <c r="B133" s="72" t="s">
        <v>333</v>
      </c>
      <c r="C133" s="74"/>
      <c r="D133" s="69"/>
    </row>
    <row r="134" spans="1:4" x14ac:dyDescent="0.25">
      <c r="A134" s="70">
        <v>16.2</v>
      </c>
      <c r="B134" s="72" t="s">
        <v>335</v>
      </c>
      <c r="C134" s="74"/>
      <c r="D134" s="69"/>
    </row>
    <row r="135" spans="1:4" x14ac:dyDescent="0.25">
      <c r="A135" s="70">
        <v>16.2</v>
      </c>
      <c r="B135" s="72" t="s">
        <v>337</v>
      </c>
      <c r="C135" s="74"/>
      <c r="D135" s="69"/>
    </row>
    <row r="136" spans="1:4" x14ac:dyDescent="0.25">
      <c r="A136" s="70">
        <v>16.2</v>
      </c>
      <c r="B136" s="72" t="s">
        <v>339</v>
      </c>
      <c r="C136" s="74"/>
      <c r="D136" s="69"/>
    </row>
    <row r="137" spans="1:4" x14ac:dyDescent="0.25">
      <c r="A137" s="70">
        <v>16.2</v>
      </c>
      <c r="B137" s="72" t="s">
        <v>341</v>
      </c>
      <c r="C137" s="74"/>
      <c r="D137" s="69"/>
    </row>
    <row r="138" spans="1:4" x14ac:dyDescent="0.25">
      <c r="A138" s="70">
        <v>16.2</v>
      </c>
      <c r="B138" s="72" t="s">
        <v>343</v>
      </c>
      <c r="C138" s="74"/>
      <c r="D138" s="69"/>
    </row>
    <row r="139" spans="1:4" x14ac:dyDescent="0.25">
      <c r="A139" s="70">
        <v>16.2</v>
      </c>
      <c r="B139" s="72" t="s">
        <v>345</v>
      </c>
      <c r="C139" s="74"/>
      <c r="D139" s="69"/>
    </row>
    <row r="140" spans="1:4" x14ac:dyDescent="0.25">
      <c r="A140" s="70">
        <v>16.2</v>
      </c>
      <c r="B140" s="72" t="s">
        <v>347</v>
      </c>
      <c r="C140" s="74"/>
      <c r="D140" s="69"/>
    </row>
    <row r="141" spans="1:4" x14ac:dyDescent="0.25">
      <c r="A141" s="70">
        <v>16.2</v>
      </c>
      <c r="B141" s="72" t="s">
        <v>351</v>
      </c>
      <c r="C141" s="74"/>
      <c r="D141" s="69"/>
    </row>
    <row r="142" spans="1:4" x14ac:dyDescent="0.25">
      <c r="A142" s="70">
        <v>16.2</v>
      </c>
      <c r="B142" s="72" t="s">
        <v>354</v>
      </c>
      <c r="C142" s="74"/>
      <c r="D142" s="69"/>
    </row>
    <row r="143" spans="1:4" x14ac:dyDescent="0.25">
      <c r="A143" s="70">
        <v>16.2</v>
      </c>
      <c r="B143" s="72" t="s">
        <v>356</v>
      </c>
      <c r="C143" s="74"/>
      <c r="D143" s="69"/>
    </row>
    <row r="144" spans="1:4" x14ac:dyDescent="0.25">
      <c r="A144" s="70">
        <v>16.2</v>
      </c>
      <c r="B144" s="72" t="s">
        <v>358</v>
      </c>
      <c r="C144" s="74"/>
      <c r="D144" s="69"/>
    </row>
    <row r="145" spans="1:4" x14ac:dyDescent="0.25">
      <c r="A145" s="70">
        <v>16.2</v>
      </c>
      <c r="B145" s="72" t="s">
        <v>360</v>
      </c>
      <c r="C145" s="74"/>
      <c r="D145" s="69"/>
    </row>
    <row r="146" spans="1:4" x14ac:dyDescent="0.25">
      <c r="A146" s="70">
        <v>16.2</v>
      </c>
      <c r="B146" s="72" t="s">
        <v>362</v>
      </c>
      <c r="C146" s="74"/>
      <c r="D146" s="69"/>
    </row>
    <row r="147" spans="1:4" x14ac:dyDescent="0.25">
      <c r="A147" s="70">
        <v>16.2</v>
      </c>
      <c r="B147" s="72" t="s">
        <v>364</v>
      </c>
      <c r="C147" s="74"/>
      <c r="D147" s="69"/>
    </row>
    <row r="148" spans="1:4" x14ac:dyDescent="0.25">
      <c r="A148" s="70">
        <v>16.2</v>
      </c>
      <c r="B148" s="72" t="s">
        <v>367</v>
      </c>
      <c r="C148" s="74"/>
      <c r="D148" s="69"/>
    </row>
    <row r="149" spans="1:4" x14ac:dyDescent="0.25">
      <c r="A149" s="70">
        <v>16.2</v>
      </c>
      <c r="B149" s="72" t="s">
        <v>369</v>
      </c>
      <c r="C149" s="74"/>
      <c r="D149" s="69"/>
    </row>
    <row r="150" spans="1:4" x14ac:dyDescent="0.25">
      <c r="A150" s="70">
        <v>16.2</v>
      </c>
      <c r="B150" s="72" t="s">
        <v>371</v>
      </c>
      <c r="C150" s="74"/>
      <c r="D150" s="69"/>
    </row>
    <row r="151" spans="1:4" x14ac:dyDescent="0.25">
      <c r="A151" s="70">
        <v>16.2</v>
      </c>
      <c r="B151" s="72" t="s">
        <v>373</v>
      </c>
      <c r="C151" s="74"/>
      <c r="D151" s="69"/>
    </row>
    <row r="152" spans="1:4" x14ac:dyDescent="0.25">
      <c r="A152" s="70">
        <v>16.2</v>
      </c>
      <c r="B152" s="72" t="s">
        <v>375</v>
      </c>
      <c r="C152" s="74"/>
      <c r="D152" s="69"/>
    </row>
    <row r="153" spans="1:4" x14ac:dyDescent="0.25">
      <c r="A153" s="70">
        <v>16.3</v>
      </c>
      <c r="B153" s="72" t="s">
        <v>378</v>
      </c>
      <c r="C153" s="74"/>
      <c r="D153" s="69"/>
    </row>
    <row r="154" spans="1:4" x14ac:dyDescent="0.25">
      <c r="A154" s="70">
        <v>16.3</v>
      </c>
      <c r="B154" s="72" t="s">
        <v>380</v>
      </c>
      <c r="C154" s="74"/>
      <c r="D154" s="69"/>
    </row>
    <row r="155" spans="1:4" x14ac:dyDescent="0.25">
      <c r="A155" s="70">
        <v>16.3</v>
      </c>
      <c r="B155" s="72" t="s">
        <v>382</v>
      </c>
      <c r="C155" s="74"/>
      <c r="D155" s="69"/>
    </row>
    <row r="156" spans="1:4" x14ac:dyDescent="0.25">
      <c r="A156" s="70">
        <v>16.3</v>
      </c>
      <c r="B156" s="72" t="s">
        <v>386</v>
      </c>
      <c r="C156" s="74"/>
      <c r="D156" s="69"/>
    </row>
    <row r="157" spans="1:4" x14ac:dyDescent="0.25">
      <c r="A157" s="70">
        <v>17.100000000000001</v>
      </c>
      <c r="B157" s="72" t="s">
        <v>389</v>
      </c>
      <c r="C157" s="74"/>
      <c r="D157" s="69"/>
    </row>
    <row r="158" spans="1:4" x14ac:dyDescent="0.25">
      <c r="A158" s="70">
        <v>17.2</v>
      </c>
      <c r="B158" s="72" t="s">
        <v>391</v>
      </c>
      <c r="C158" s="74"/>
      <c r="D158" s="69"/>
    </row>
    <row r="159" spans="1:4" x14ac:dyDescent="0.25">
      <c r="A159" s="70">
        <v>17.3</v>
      </c>
      <c r="B159" s="72" t="s">
        <v>393</v>
      </c>
      <c r="C159" s="74"/>
      <c r="D159" s="69"/>
    </row>
    <row r="160" spans="1:4" x14ac:dyDescent="0.25">
      <c r="A160" s="70">
        <v>17.399999999999999</v>
      </c>
      <c r="B160" s="72" t="s">
        <v>399</v>
      </c>
      <c r="C160" s="74"/>
      <c r="D160" s="69"/>
    </row>
    <row r="161" spans="1:4" x14ac:dyDescent="0.25">
      <c r="A161" s="70">
        <v>18.100000000000001</v>
      </c>
      <c r="B161" s="72" t="s">
        <v>402</v>
      </c>
      <c r="C161" s="74"/>
      <c r="D161" s="69"/>
    </row>
    <row r="162" spans="1:4" x14ac:dyDescent="0.25">
      <c r="A162" s="70">
        <v>18.100000000000001</v>
      </c>
      <c r="B162" s="72" t="s">
        <v>404</v>
      </c>
      <c r="C162" s="74"/>
      <c r="D162" s="69"/>
    </row>
    <row r="163" spans="1:4" x14ac:dyDescent="0.25">
      <c r="A163" s="70">
        <v>18.100000000000001</v>
      </c>
      <c r="B163" s="72" t="s">
        <v>406</v>
      </c>
      <c r="C163" s="74"/>
      <c r="D163" s="69"/>
    </row>
    <row r="164" spans="1:4" x14ac:dyDescent="0.25">
      <c r="A164" s="70">
        <v>18.100000000000001</v>
      </c>
      <c r="B164" s="72" t="s">
        <v>408</v>
      </c>
      <c r="C164" s="74"/>
      <c r="D164" s="69"/>
    </row>
    <row r="165" spans="1:4" x14ac:dyDescent="0.25">
      <c r="A165" s="70">
        <v>18.100000000000001</v>
      </c>
      <c r="B165" s="72" t="s">
        <v>410</v>
      </c>
      <c r="C165" s="74"/>
      <c r="D165" s="69"/>
    </row>
    <row r="166" spans="1:4" x14ac:dyDescent="0.25">
      <c r="A166" s="70">
        <v>18.100000000000001</v>
      </c>
      <c r="B166" s="72" t="s">
        <v>412</v>
      </c>
      <c r="C166" s="74"/>
      <c r="D166" s="69"/>
    </row>
    <row r="167" spans="1:4" x14ac:dyDescent="0.25">
      <c r="A167" s="70">
        <v>18.100000000000001</v>
      </c>
      <c r="B167" s="72" t="s">
        <v>414</v>
      </c>
      <c r="C167" s="74"/>
      <c r="D167" s="69"/>
    </row>
    <row r="168" spans="1:4" x14ac:dyDescent="0.25">
      <c r="A168" s="70">
        <v>18.100000000000001</v>
      </c>
      <c r="B168" s="72" t="s">
        <v>416</v>
      </c>
      <c r="C168" s="74"/>
      <c r="D168" s="69"/>
    </row>
    <row r="169" spans="1:4" x14ac:dyDescent="0.25">
      <c r="A169" s="70">
        <v>18.100000000000001</v>
      </c>
      <c r="B169" s="72" t="s">
        <v>418</v>
      </c>
      <c r="C169" s="74"/>
      <c r="D169" s="69"/>
    </row>
    <row r="170" spans="1:4" x14ac:dyDescent="0.25">
      <c r="A170" s="70">
        <v>18.2</v>
      </c>
      <c r="B170" s="72" t="s">
        <v>421</v>
      </c>
      <c r="C170" s="74"/>
      <c r="D170" s="69"/>
    </row>
    <row r="171" spans="1:4" x14ac:dyDescent="0.25">
      <c r="A171" s="70">
        <v>18.2</v>
      </c>
      <c r="B171" s="72" t="s">
        <v>425</v>
      </c>
      <c r="C171" s="74"/>
      <c r="D171" s="69"/>
    </row>
    <row r="172" spans="1:4" x14ac:dyDescent="0.25">
      <c r="A172" s="70">
        <v>18.2</v>
      </c>
      <c r="B172" s="72" t="s">
        <v>427</v>
      </c>
      <c r="C172" s="74"/>
      <c r="D172" s="69"/>
    </row>
    <row r="173" spans="1:4" x14ac:dyDescent="0.25">
      <c r="A173" s="70">
        <v>18.3</v>
      </c>
      <c r="B173" s="72" t="s">
        <v>430</v>
      </c>
      <c r="C173" s="74"/>
      <c r="D173" s="69"/>
    </row>
    <row r="174" spans="1:4" x14ac:dyDescent="0.25">
      <c r="A174" s="70">
        <v>18.3</v>
      </c>
      <c r="B174" s="72" t="s">
        <v>432</v>
      </c>
      <c r="C174" s="74"/>
      <c r="D174" s="69"/>
    </row>
    <row r="175" spans="1:4" x14ac:dyDescent="0.25">
      <c r="A175" s="70">
        <v>18.3</v>
      </c>
      <c r="B175" s="72" t="s">
        <v>434</v>
      </c>
      <c r="C175" s="74"/>
      <c r="D175" s="69"/>
    </row>
    <row r="176" spans="1:4" x14ac:dyDescent="0.25">
      <c r="A176" s="70">
        <v>18.399999999999999</v>
      </c>
      <c r="B176" s="72" t="s">
        <v>437</v>
      </c>
      <c r="C176" s="74"/>
      <c r="D176" s="69"/>
    </row>
    <row r="177" spans="1:4" x14ac:dyDescent="0.25">
      <c r="A177" s="70">
        <v>18.399999999999999</v>
      </c>
      <c r="B177" s="72" t="s">
        <v>439</v>
      </c>
      <c r="C177" s="74"/>
      <c r="D177" s="69"/>
    </row>
    <row r="178" spans="1:4" x14ac:dyDescent="0.25">
      <c r="A178" s="70">
        <v>18.399999999999999</v>
      </c>
      <c r="B178" s="72" t="s">
        <v>441</v>
      </c>
      <c r="C178" s="74"/>
      <c r="D178" s="69"/>
    </row>
    <row r="179" spans="1:4" x14ac:dyDescent="0.25">
      <c r="A179" s="70">
        <v>19.100000000000001</v>
      </c>
      <c r="B179" s="72" t="s">
        <v>444</v>
      </c>
      <c r="C179" s="74"/>
      <c r="D179" s="69"/>
    </row>
    <row r="180" spans="1:4" x14ac:dyDescent="0.25">
      <c r="A180" s="70">
        <v>19.100000000000001</v>
      </c>
      <c r="B180" s="72" t="s">
        <v>446</v>
      </c>
      <c r="C180" s="74"/>
      <c r="D180" s="69"/>
    </row>
    <row r="181" spans="1:4" x14ac:dyDescent="0.25">
      <c r="A181" s="70">
        <v>19.100000000000001</v>
      </c>
      <c r="B181" s="72" t="s">
        <v>448</v>
      </c>
      <c r="C181" s="74"/>
      <c r="D181" s="69"/>
    </row>
    <row r="182" spans="1:4" x14ac:dyDescent="0.25">
      <c r="A182" s="70">
        <v>19.100000000000001</v>
      </c>
      <c r="B182" s="72" t="s">
        <v>450</v>
      </c>
      <c r="C182" s="74"/>
      <c r="D182" s="69"/>
    </row>
    <row r="183" spans="1:4" x14ac:dyDescent="0.25">
      <c r="A183" s="70">
        <v>19.100000000000001</v>
      </c>
      <c r="B183" s="72" t="s">
        <v>452</v>
      </c>
      <c r="C183" s="74"/>
      <c r="D183" s="69"/>
    </row>
    <row r="184" spans="1:4" x14ac:dyDescent="0.25">
      <c r="A184" s="70">
        <v>19.100000000000001</v>
      </c>
      <c r="B184" s="72" t="s">
        <v>454</v>
      </c>
      <c r="C184" s="74"/>
      <c r="D184" s="69"/>
    </row>
    <row r="185" spans="1:4" x14ac:dyDescent="0.25">
      <c r="A185" s="70">
        <v>20.100000000000001</v>
      </c>
      <c r="B185" s="72" t="s">
        <v>457</v>
      </c>
      <c r="C185" s="74"/>
      <c r="D185" s="69"/>
    </row>
    <row r="186" spans="1:4" x14ac:dyDescent="0.25">
      <c r="A186" s="70">
        <v>20.2</v>
      </c>
      <c r="B186" s="72" t="s">
        <v>462</v>
      </c>
      <c r="C186" s="74"/>
      <c r="D186" s="69"/>
    </row>
    <row r="187" spans="1:4" x14ac:dyDescent="0.25">
      <c r="A187" s="70">
        <v>20.3</v>
      </c>
      <c r="B187" s="72" t="s">
        <v>465</v>
      </c>
      <c r="C187" s="74"/>
      <c r="D187" s="69"/>
    </row>
    <row r="188" spans="1:4" x14ac:dyDescent="0.25">
      <c r="A188" s="70">
        <v>20.399999999999999</v>
      </c>
      <c r="B188" s="72" t="s">
        <v>469</v>
      </c>
      <c r="C188" s="74"/>
      <c r="D188" s="69"/>
    </row>
    <row r="189" spans="1:4" x14ac:dyDescent="0.25">
      <c r="A189" s="70">
        <v>20.399999999999999</v>
      </c>
      <c r="B189" s="72" t="s">
        <v>471</v>
      </c>
      <c r="C189" s="74"/>
      <c r="D189" s="69"/>
    </row>
    <row r="190" spans="1:4" x14ac:dyDescent="0.25">
      <c r="A190" s="70">
        <v>20.399999999999999</v>
      </c>
      <c r="B190" s="72" t="s">
        <v>473</v>
      </c>
      <c r="C190" s="74"/>
      <c r="D190" s="69"/>
    </row>
    <row r="191" spans="1:4" x14ac:dyDescent="0.25">
      <c r="A191" s="70">
        <v>20.399999999999999</v>
      </c>
      <c r="B191" s="72" t="s">
        <v>475</v>
      </c>
      <c r="C191" s="74"/>
      <c r="D191" s="69"/>
    </row>
    <row r="192" spans="1:4" x14ac:dyDescent="0.25">
      <c r="A192" s="70">
        <v>20.399999999999999</v>
      </c>
      <c r="B192" s="72" t="s">
        <v>477</v>
      </c>
      <c r="C192" s="74"/>
      <c r="D192" s="69"/>
    </row>
    <row r="193" spans="1:4" x14ac:dyDescent="0.25">
      <c r="A193" s="70">
        <v>20.5</v>
      </c>
      <c r="B193" s="72" t="s">
        <v>479</v>
      </c>
      <c r="C193" s="74"/>
      <c r="D193" s="69"/>
    </row>
    <row r="194" spans="1:4" x14ac:dyDescent="0.25">
      <c r="A194" s="70">
        <v>20.5</v>
      </c>
      <c r="B194" s="72" t="s">
        <v>481</v>
      </c>
      <c r="C194" s="74"/>
      <c r="D194" s="69"/>
    </row>
    <row r="195" spans="1:4" x14ac:dyDescent="0.25">
      <c r="A195" s="70">
        <v>20.6</v>
      </c>
      <c r="B195" s="72" t="s">
        <v>484</v>
      </c>
      <c r="C195" s="74"/>
      <c r="D195" s="69"/>
    </row>
    <row r="196" spans="1:4" x14ac:dyDescent="0.25">
      <c r="A196" s="70">
        <v>20.6</v>
      </c>
      <c r="B196" s="72" t="s">
        <v>486</v>
      </c>
      <c r="C196" s="74"/>
      <c r="D196" s="69"/>
    </row>
    <row r="197" spans="1:4" x14ac:dyDescent="0.25">
      <c r="A197" s="70">
        <v>20.7</v>
      </c>
      <c r="B197" s="72" t="s">
        <v>488</v>
      </c>
      <c r="C197" s="74"/>
      <c r="D197" s="69"/>
    </row>
    <row r="198" spans="1:4" x14ac:dyDescent="0.25">
      <c r="A198" s="70">
        <v>20.7</v>
      </c>
      <c r="B198" s="72" t="s">
        <v>490</v>
      </c>
      <c r="C198" s="74"/>
      <c r="D198" s="69"/>
    </row>
    <row r="199" spans="1:4" x14ac:dyDescent="0.25">
      <c r="A199" s="70">
        <v>23.1</v>
      </c>
      <c r="B199" s="72" t="s">
        <v>493</v>
      </c>
      <c r="C199" s="74"/>
      <c r="D199" s="69"/>
    </row>
    <row r="200" spans="1:4" x14ac:dyDescent="0.25">
      <c r="A200" s="70">
        <v>23.1</v>
      </c>
      <c r="B200" s="72" t="s">
        <v>497</v>
      </c>
      <c r="C200" s="74"/>
      <c r="D200" s="69"/>
    </row>
    <row r="201" spans="1:4" x14ac:dyDescent="0.25">
      <c r="A201" s="70">
        <v>23.2</v>
      </c>
      <c r="B201" s="72" t="s">
        <v>501</v>
      </c>
      <c r="C201" s="74"/>
      <c r="D201" s="69"/>
    </row>
    <row r="202" spans="1:4" x14ac:dyDescent="0.25">
      <c r="A202" s="70">
        <v>23.2</v>
      </c>
      <c r="B202" s="72" t="s">
        <v>503</v>
      </c>
      <c r="C202" s="74"/>
      <c r="D202" s="69"/>
    </row>
    <row r="203" spans="1:4" x14ac:dyDescent="0.25">
      <c r="A203" s="70">
        <v>23.2</v>
      </c>
      <c r="B203" s="72" t="s">
        <v>506</v>
      </c>
      <c r="C203" s="74"/>
      <c r="D203" s="69"/>
    </row>
    <row r="204" spans="1:4" x14ac:dyDescent="0.25">
      <c r="A204" s="70">
        <v>23.2</v>
      </c>
      <c r="B204" s="72" t="s">
        <v>509</v>
      </c>
      <c r="C204" s="74"/>
      <c r="D204" s="69"/>
    </row>
    <row r="205" spans="1:4" x14ac:dyDescent="0.25">
      <c r="A205" s="70">
        <v>23.3</v>
      </c>
      <c r="B205" s="72" t="s">
        <v>513</v>
      </c>
      <c r="C205" s="74"/>
      <c r="D205" s="69"/>
    </row>
    <row r="206" spans="1:4" x14ac:dyDescent="0.25">
      <c r="A206" s="70">
        <v>23.3</v>
      </c>
      <c r="B206" s="72" t="s">
        <v>517</v>
      </c>
      <c r="C206" s="74"/>
      <c r="D206" s="69"/>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zoomScale="90" zoomScaleNormal="90" workbookViewId="0"/>
  </sheetViews>
  <sheetFormatPr baseColWidth="10" defaultColWidth="21.7109375" defaultRowHeight="15" x14ac:dyDescent="0.2"/>
  <cols>
    <col min="1" max="2" width="21.7109375" style="50"/>
    <col min="3" max="3" width="21.7109375" style="26"/>
    <col min="4" max="4" width="21.7109375" style="44"/>
    <col min="5" max="5" width="21.7109375" style="43"/>
    <col min="6" max="6" width="21.7109375" style="44"/>
    <col min="7" max="16384" width="21.7109375" style="43"/>
  </cols>
  <sheetData>
    <row r="1" spans="1:6" x14ac:dyDescent="0.2">
      <c r="A1" s="23" t="s">
        <v>0</v>
      </c>
      <c r="B1" s="23" t="s">
        <v>521</v>
      </c>
      <c r="C1" s="24" t="s">
        <v>9</v>
      </c>
      <c r="D1" s="25" t="s">
        <v>522</v>
      </c>
      <c r="E1" s="25" t="s">
        <v>523</v>
      </c>
      <c r="F1" s="25" t="s">
        <v>524</v>
      </c>
    </row>
    <row r="2" spans="1:6" x14ac:dyDescent="0.2">
      <c r="A2" s="51"/>
      <c r="B2" s="51"/>
      <c r="C2" s="52"/>
      <c r="D2" s="53"/>
      <c r="E2" s="53"/>
      <c r="F2" s="53"/>
    </row>
    <row r="3" spans="1:6" x14ac:dyDescent="0.2">
      <c r="A3" s="54"/>
      <c r="B3" s="54"/>
      <c r="C3" s="55"/>
      <c r="D3" s="56"/>
      <c r="E3" s="56"/>
      <c r="F3" s="56"/>
    </row>
    <row r="4" spans="1:6" x14ac:dyDescent="0.2">
      <c r="A4" s="51"/>
      <c r="B4" s="51"/>
      <c r="C4" s="52"/>
      <c r="D4" s="53"/>
      <c r="E4" s="53"/>
      <c r="F4" s="56"/>
    </row>
    <row r="5" spans="1:6" x14ac:dyDescent="0.2">
      <c r="A5" s="51"/>
      <c r="B5" s="51"/>
      <c r="C5" s="52"/>
      <c r="D5" s="53"/>
      <c r="E5" s="53"/>
      <c r="F5" s="56"/>
    </row>
    <row r="6" spans="1:6" x14ac:dyDescent="0.2">
      <c r="A6" s="51"/>
      <c r="B6" s="51"/>
      <c r="C6" s="57"/>
      <c r="D6" s="53"/>
      <c r="E6" s="53"/>
      <c r="F6" s="56"/>
    </row>
    <row r="7" spans="1:6" ht="15.75" thickBot="1" x14ac:dyDescent="0.25">
      <c r="A7" s="58"/>
      <c r="B7" s="58"/>
      <c r="C7" s="59"/>
      <c r="D7" s="60"/>
      <c r="E7" s="60"/>
      <c r="F7" s="60"/>
    </row>
    <row r="9" spans="1:6" x14ac:dyDescent="0.25">
      <c r="A9" s="45"/>
      <c r="B9" s="46"/>
      <c r="C9" s="47"/>
      <c r="D9" s="46"/>
      <c r="E9" s="46"/>
      <c r="F9" s="46"/>
    </row>
    <row r="10" spans="1:6" ht="12.75" x14ac:dyDescent="0.2">
      <c r="A10" s="48"/>
      <c r="B10" s="48"/>
      <c r="C10" s="49"/>
      <c r="D10" s="45"/>
      <c r="E10" s="45"/>
      <c r="F10" s="45"/>
    </row>
  </sheetData>
  <autoFilter ref="A1:F1" xr:uid="{D2AAC5F4-4976-47E2-97F2-99C45AF6C866}"/>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L353"/>
  <sheetViews>
    <sheetView zoomScale="80" zoomScaleNormal="80" zoomScaleSheetLayoutView="70" workbookViewId="0">
      <pane xSplit="2" ySplit="1" topLeftCell="C2" activePane="bottomRight" state="frozen"/>
      <selection pane="topRight"/>
      <selection pane="bottomLeft"/>
      <selection pane="bottomRight"/>
    </sheetView>
  </sheetViews>
  <sheetFormatPr baseColWidth="10" defaultColWidth="22.5703125" defaultRowHeight="15" x14ac:dyDescent="0.25"/>
  <cols>
    <col min="1" max="1" width="22.5703125" style="91"/>
    <col min="2" max="2" width="22.5703125" style="90"/>
    <col min="3" max="3" width="37.28515625" style="92" bestFit="1" customWidth="1"/>
    <col min="4" max="4" width="55.140625" style="92" bestFit="1" customWidth="1"/>
    <col min="5" max="5" width="22.7109375" style="92" bestFit="1" customWidth="1"/>
    <col min="6" max="9" width="22.5703125" style="90"/>
    <col min="10" max="10" width="22.5703125" style="92"/>
    <col min="11" max="11" width="22.5703125" style="18"/>
    <col min="12" max="12" width="22.5703125" style="92"/>
    <col min="13" max="16384" width="22.5703125" style="90"/>
  </cols>
  <sheetData>
    <row r="1" spans="1:12" s="29" customFormat="1" x14ac:dyDescent="0.25">
      <c r="A1" s="80" t="s">
        <v>0</v>
      </c>
      <c r="B1" s="81" t="s">
        <v>9</v>
      </c>
      <c r="C1" s="82" t="s">
        <v>8</v>
      </c>
      <c r="D1" s="82" t="s">
        <v>10</v>
      </c>
      <c r="E1" s="82" t="s">
        <v>12</v>
      </c>
      <c r="F1" s="83" t="s">
        <v>1</v>
      </c>
      <c r="G1" s="83" t="s">
        <v>2</v>
      </c>
      <c r="H1" s="83" t="s">
        <v>3</v>
      </c>
      <c r="I1" s="83" t="s">
        <v>562</v>
      </c>
      <c r="J1" s="84" t="s">
        <v>559</v>
      </c>
      <c r="K1" s="84" t="s">
        <v>588</v>
      </c>
      <c r="L1" s="84" t="s">
        <v>589</v>
      </c>
    </row>
    <row r="2" spans="1:12" ht="75" x14ac:dyDescent="0.25">
      <c r="A2" s="85">
        <v>45291</v>
      </c>
      <c r="B2" s="86" t="s">
        <v>16</v>
      </c>
      <c r="C2" s="87" t="s">
        <v>15</v>
      </c>
      <c r="D2" s="87" t="s">
        <v>17</v>
      </c>
      <c r="E2" s="87" t="s">
        <v>19</v>
      </c>
      <c r="F2" s="88" t="s">
        <v>525</v>
      </c>
      <c r="G2" s="88" t="s">
        <v>587</v>
      </c>
      <c r="H2" s="88" t="s">
        <v>560</v>
      </c>
      <c r="I2" s="89" t="s">
        <v>18</v>
      </c>
      <c r="J2" s="93"/>
      <c r="K2" s="30">
        <f>VLOOKUP(A2,CCPA_AggregateDataFile!$A:$DU,5,0)</f>
        <v>0</v>
      </c>
      <c r="L2" s="34">
        <f>VLOOKUP($B2,QualitativeNotes!B:C,2,FALSE)</f>
        <v>0</v>
      </c>
    </row>
    <row r="3" spans="1:12" ht="75" x14ac:dyDescent="0.25">
      <c r="A3" s="85">
        <v>45291</v>
      </c>
      <c r="B3" s="86" t="s">
        <v>22</v>
      </c>
      <c r="C3" s="87" t="s">
        <v>15</v>
      </c>
      <c r="D3" s="87" t="s">
        <v>23</v>
      </c>
      <c r="E3" s="87" t="s">
        <v>19</v>
      </c>
      <c r="F3" s="88" t="s">
        <v>525</v>
      </c>
      <c r="G3" s="88" t="s">
        <v>587</v>
      </c>
      <c r="H3" s="88" t="s">
        <v>560</v>
      </c>
      <c r="I3" s="89" t="s">
        <v>18</v>
      </c>
      <c r="J3" s="93"/>
      <c r="K3" s="30">
        <f>VLOOKUP(A3,CCPA_AggregateDataFile!$A:$DU,6,0)</f>
        <v>0</v>
      </c>
      <c r="L3" s="34">
        <f>VLOOKUP($B3,QualitativeNotes!B:C,2,FALSE)</f>
        <v>0</v>
      </c>
    </row>
    <row r="4" spans="1:12" ht="75" x14ac:dyDescent="0.25">
      <c r="A4" s="85">
        <v>45291</v>
      </c>
      <c r="B4" s="86" t="s">
        <v>24</v>
      </c>
      <c r="C4" s="87" t="s">
        <v>15</v>
      </c>
      <c r="D4" s="87" t="s">
        <v>25</v>
      </c>
      <c r="E4" s="87" t="s">
        <v>19</v>
      </c>
      <c r="F4" s="88" t="s">
        <v>525</v>
      </c>
      <c r="G4" s="88" t="s">
        <v>587</v>
      </c>
      <c r="H4" s="88" t="s">
        <v>560</v>
      </c>
      <c r="I4" s="89" t="s">
        <v>18</v>
      </c>
      <c r="J4" s="93"/>
      <c r="K4" s="30">
        <f>VLOOKUP(A4,CCPA_AggregateDataFile!$A:$DU,7,0)</f>
        <v>1539860.62</v>
      </c>
      <c r="L4" s="34">
        <f>VLOOKUP($B4,QualitativeNotes!B:C,2,FALSE)</f>
        <v>0</v>
      </c>
    </row>
    <row r="5" spans="1:12" ht="75" x14ac:dyDescent="0.25">
      <c r="A5" s="85">
        <v>45291</v>
      </c>
      <c r="B5" s="86" t="s">
        <v>26</v>
      </c>
      <c r="C5" s="87" t="s">
        <v>15</v>
      </c>
      <c r="D5" s="87" t="s">
        <v>27</v>
      </c>
      <c r="E5" s="87" t="s">
        <v>19</v>
      </c>
      <c r="F5" s="88" t="s">
        <v>525</v>
      </c>
      <c r="G5" s="88" t="s">
        <v>587</v>
      </c>
      <c r="H5" s="88" t="s">
        <v>560</v>
      </c>
      <c r="I5" s="89" t="s">
        <v>18</v>
      </c>
      <c r="J5" s="93"/>
      <c r="K5" s="30">
        <f>VLOOKUP(A5,CCPA_AggregateDataFile!$A:$DU,8,0)</f>
        <v>23389530</v>
      </c>
      <c r="L5" s="34">
        <f>VLOOKUP($B5,QualitativeNotes!B:C,2,FALSE)</f>
        <v>0</v>
      </c>
    </row>
    <row r="6" spans="1:12" ht="75" x14ac:dyDescent="0.25">
      <c r="A6" s="85">
        <v>45291</v>
      </c>
      <c r="B6" s="86" t="s">
        <v>28</v>
      </c>
      <c r="C6" s="87" t="s">
        <v>15</v>
      </c>
      <c r="D6" s="87" t="s">
        <v>29</v>
      </c>
      <c r="E6" s="87" t="s">
        <v>19</v>
      </c>
      <c r="F6" s="88" t="s">
        <v>525</v>
      </c>
      <c r="G6" s="88" t="s">
        <v>587</v>
      </c>
      <c r="H6" s="88" t="s">
        <v>560</v>
      </c>
      <c r="I6" s="89" t="s">
        <v>18</v>
      </c>
      <c r="J6" s="93"/>
      <c r="K6" s="30">
        <f>VLOOKUP(A6,CCPA_AggregateDataFile!$A:$DU,9,0)</f>
        <v>23389530</v>
      </c>
      <c r="L6" s="34">
        <f>VLOOKUP($B6,QualitativeNotes!B:C,2,FALSE)</f>
        <v>0</v>
      </c>
    </row>
    <row r="7" spans="1:12" ht="75" x14ac:dyDescent="0.25">
      <c r="A7" s="85">
        <v>45291</v>
      </c>
      <c r="B7" s="86" t="s">
        <v>30</v>
      </c>
      <c r="C7" s="87" t="s">
        <v>15</v>
      </c>
      <c r="D7" s="87" t="s">
        <v>31</v>
      </c>
      <c r="E7" s="87" t="s">
        <v>19</v>
      </c>
      <c r="F7" s="88" t="s">
        <v>525</v>
      </c>
      <c r="G7" s="88" t="s">
        <v>587</v>
      </c>
      <c r="H7" s="88" t="s">
        <v>560</v>
      </c>
      <c r="I7" s="89" t="s">
        <v>18</v>
      </c>
      <c r="J7" s="93"/>
      <c r="K7" s="30">
        <f>VLOOKUP(A7,CCPA_AggregateDataFile!$A:$DU,10,0)</f>
        <v>0</v>
      </c>
      <c r="L7" s="34">
        <f>VLOOKUP($B7,QualitativeNotes!B:C,2,FALSE)</f>
        <v>0</v>
      </c>
    </row>
    <row r="8" spans="1:12" ht="75" x14ac:dyDescent="0.25">
      <c r="A8" s="85">
        <v>45291</v>
      </c>
      <c r="B8" s="86" t="s">
        <v>32</v>
      </c>
      <c r="C8" s="87" t="s">
        <v>15</v>
      </c>
      <c r="D8" s="87" t="s">
        <v>33</v>
      </c>
      <c r="E8" s="87" t="s">
        <v>19</v>
      </c>
      <c r="F8" s="88" t="s">
        <v>525</v>
      </c>
      <c r="G8" s="88" t="s">
        <v>587</v>
      </c>
      <c r="H8" s="88" t="s">
        <v>560</v>
      </c>
      <c r="I8" s="89" t="s">
        <v>18</v>
      </c>
      <c r="J8" s="93"/>
      <c r="K8" s="30">
        <f>VLOOKUP(A8,CCPA_AggregateDataFile!$A:$DU,11,0)</f>
        <v>1539860.62</v>
      </c>
      <c r="L8" s="34">
        <f>VLOOKUP($B8,QualitativeNotes!B:C,2,FALSE)</f>
        <v>0</v>
      </c>
    </row>
    <row r="9" spans="1:12" ht="75" x14ac:dyDescent="0.25">
      <c r="A9" s="85">
        <v>45291</v>
      </c>
      <c r="B9" s="86" t="s">
        <v>34</v>
      </c>
      <c r="C9" s="87" t="s">
        <v>15</v>
      </c>
      <c r="D9" s="87" t="s">
        <v>35</v>
      </c>
      <c r="E9" s="87" t="s">
        <v>19</v>
      </c>
      <c r="F9" s="88" t="s">
        <v>525</v>
      </c>
      <c r="G9" s="88" t="s">
        <v>587</v>
      </c>
      <c r="H9" s="88" t="s">
        <v>560</v>
      </c>
      <c r="I9" s="89" t="s">
        <v>18</v>
      </c>
      <c r="J9" s="93"/>
      <c r="K9" s="30">
        <f>VLOOKUP(A9,CCPA_AggregateDataFile!$A:$DU,12,0)</f>
        <v>116947650</v>
      </c>
      <c r="L9" s="34">
        <f>VLOOKUP($B9,QualitativeNotes!B:C,2,FALSE)</f>
        <v>0</v>
      </c>
    </row>
    <row r="10" spans="1:12" ht="90" x14ac:dyDescent="0.25">
      <c r="A10" s="85">
        <v>45291</v>
      </c>
      <c r="B10" s="86" t="s">
        <v>5</v>
      </c>
      <c r="C10" s="87" t="s">
        <v>15</v>
      </c>
      <c r="D10" s="87" t="s">
        <v>36</v>
      </c>
      <c r="E10" s="87" t="s">
        <v>19</v>
      </c>
      <c r="F10" s="88" t="s">
        <v>525</v>
      </c>
      <c r="G10" s="88" t="s">
        <v>587</v>
      </c>
      <c r="H10" s="88" t="s">
        <v>560</v>
      </c>
      <c r="I10" s="89" t="s">
        <v>18</v>
      </c>
      <c r="J10" s="93"/>
      <c r="K10" s="30">
        <f>VLOOKUP(A10,CCPA_AggregateDataFile!$A:$DU,13,0)</f>
        <v>116947650</v>
      </c>
      <c r="L10" s="34">
        <f>VLOOKUP($B10,QualitativeNotes!B:C,2,FALSE)</f>
        <v>0</v>
      </c>
    </row>
    <row r="11" spans="1:12" ht="75" x14ac:dyDescent="0.25">
      <c r="A11" s="85">
        <v>45291</v>
      </c>
      <c r="B11" s="86" t="s">
        <v>37</v>
      </c>
      <c r="C11" s="87" t="s">
        <v>15</v>
      </c>
      <c r="D11" s="87" t="s">
        <v>38</v>
      </c>
      <c r="E11" s="87" t="s">
        <v>19</v>
      </c>
      <c r="F11" s="88" t="s">
        <v>525</v>
      </c>
      <c r="G11" s="88" t="s">
        <v>587</v>
      </c>
      <c r="H11" s="88" t="s">
        <v>560</v>
      </c>
      <c r="I11" s="89" t="s">
        <v>18</v>
      </c>
      <c r="J11" s="93"/>
      <c r="K11" s="30">
        <f>VLOOKUP(A11,CCPA_AggregateDataFile!$A:$DU,14,0)</f>
        <v>0</v>
      </c>
      <c r="L11" s="34">
        <f>VLOOKUP($B11,QualitativeNotes!B:C,2,FALSE)</f>
        <v>0</v>
      </c>
    </row>
    <row r="12" spans="1:12" ht="30" x14ac:dyDescent="0.25">
      <c r="A12" s="85">
        <v>45291</v>
      </c>
      <c r="B12" s="86" t="s">
        <v>40</v>
      </c>
      <c r="C12" s="87" t="s">
        <v>39</v>
      </c>
      <c r="D12" s="87" t="s">
        <v>41</v>
      </c>
      <c r="E12" s="87" t="s">
        <v>42</v>
      </c>
      <c r="F12" s="88" t="s">
        <v>525</v>
      </c>
      <c r="G12" s="88" t="s">
        <v>587</v>
      </c>
      <c r="H12" s="88" t="s">
        <v>560</v>
      </c>
      <c r="I12" s="89" t="s">
        <v>18</v>
      </c>
      <c r="J12" s="93"/>
      <c r="K12" s="30">
        <f>VLOOKUP(A12,CCPA_AggregateDataFile!$A:$DU,15,0)</f>
        <v>0</v>
      </c>
      <c r="L12" s="34">
        <f>VLOOKUP($B12,QualitativeNotes!B:C,2,FALSE)</f>
        <v>0</v>
      </c>
    </row>
    <row r="13" spans="1:12" ht="75.75" customHeight="1" x14ac:dyDescent="0.25">
      <c r="A13" s="85">
        <v>45291</v>
      </c>
      <c r="B13" s="86" t="s">
        <v>44</v>
      </c>
      <c r="C13" s="87" t="s">
        <v>43</v>
      </c>
      <c r="D13" s="87" t="s">
        <v>45</v>
      </c>
      <c r="E13" s="87" t="s">
        <v>19</v>
      </c>
      <c r="F13" s="88" t="s">
        <v>525</v>
      </c>
      <c r="G13" s="88" t="s">
        <v>587</v>
      </c>
      <c r="H13" s="88" t="s">
        <v>560</v>
      </c>
      <c r="I13" s="89" t="s">
        <v>18</v>
      </c>
      <c r="J13" s="93" t="s">
        <v>526</v>
      </c>
      <c r="K13" s="30" cm="1">
        <f t="array" ref="K13">VLOOKUP(A13&amp;J13,CHOOSE({1,2},CCPA_DataFile_4_3!$A:$A&amp;CCPA_DataFile_4_3!$D:$D,CCPA_DataFile_4_3!$F:$F),2,0)</f>
        <v>24929390.620000001</v>
      </c>
      <c r="L13" s="34">
        <f>VLOOKUP($B13,QualitativeNotes!B:C,2,FALSE)</f>
        <v>0</v>
      </c>
    </row>
    <row r="14" spans="1:12" ht="75.75" customHeight="1" x14ac:dyDescent="0.25">
      <c r="A14" s="85">
        <v>45291</v>
      </c>
      <c r="B14" s="86" t="s">
        <v>44</v>
      </c>
      <c r="C14" s="87" t="s">
        <v>43</v>
      </c>
      <c r="D14" s="87" t="s">
        <v>45</v>
      </c>
      <c r="E14" s="87" t="s">
        <v>19</v>
      </c>
      <c r="F14" s="88" t="s">
        <v>525</v>
      </c>
      <c r="G14" s="88" t="s">
        <v>587</v>
      </c>
      <c r="H14" s="88" t="s">
        <v>560</v>
      </c>
      <c r="I14" s="89" t="s">
        <v>18</v>
      </c>
      <c r="J14" s="93" t="s">
        <v>527</v>
      </c>
      <c r="K14" s="30" cm="1">
        <f t="array" ref="K14">VLOOKUP(A14&amp;J14,CHOOSE({1,2},CCPA_DataFile_4_3!$A:$A&amp;CCPA_DataFile_4_3!$D:$D,CCPA_DataFile_4_3!$F:$F),2,0)</f>
        <v>24929390.620000001</v>
      </c>
      <c r="L14" s="34">
        <f>VLOOKUP($B14,QualitativeNotes!B:C,2,FALSE)</f>
        <v>0</v>
      </c>
    </row>
    <row r="15" spans="1:12" ht="75.75" customHeight="1" x14ac:dyDescent="0.25">
      <c r="A15" s="85">
        <v>45291</v>
      </c>
      <c r="B15" s="86" t="s">
        <v>48</v>
      </c>
      <c r="C15" s="87" t="s">
        <v>43</v>
      </c>
      <c r="D15" s="87" t="s">
        <v>49</v>
      </c>
      <c r="E15" s="87" t="s">
        <v>19</v>
      </c>
      <c r="F15" s="88" t="s">
        <v>525</v>
      </c>
      <c r="G15" s="88" t="s">
        <v>587</v>
      </c>
      <c r="H15" s="88" t="s">
        <v>560</v>
      </c>
      <c r="I15" s="89" t="s">
        <v>18</v>
      </c>
      <c r="J15" s="93" t="s">
        <v>526</v>
      </c>
      <c r="K15" s="30" cm="1">
        <f t="array" ref="K15">VLOOKUP(A15&amp;J15,CHOOSE({1,2},CCPA_DataFile_4_3!$A:$A&amp;CCPA_DataFile_4_3!$D:$D,CCPA_DataFile_4_3!$G:$G),2,0)</f>
        <v>0</v>
      </c>
      <c r="L15" s="34">
        <f>VLOOKUP($B15,QualitativeNotes!B:C,2,FALSE)</f>
        <v>0</v>
      </c>
    </row>
    <row r="16" spans="1:12" ht="75.75" customHeight="1" x14ac:dyDescent="0.25">
      <c r="A16" s="85">
        <v>45291</v>
      </c>
      <c r="B16" s="86" t="s">
        <v>48</v>
      </c>
      <c r="C16" s="87" t="s">
        <v>43</v>
      </c>
      <c r="D16" s="87" t="s">
        <v>49</v>
      </c>
      <c r="E16" s="87" t="s">
        <v>19</v>
      </c>
      <c r="F16" s="88" t="s">
        <v>525</v>
      </c>
      <c r="G16" s="88" t="s">
        <v>587</v>
      </c>
      <c r="H16" s="88" t="s">
        <v>560</v>
      </c>
      <c r="I16" s="89" t="s">
        <v>18</v>
      </c>
      <c r="J16" s="93" t="s">
        <v>527</v>
      </c>
      <c r="K16" s="30" cm="1">
        <f t="array" ref="K16">VLOOKUP(A16&amp;J16,CHOOSE({1,2},CCPA_DataFile_4_3!$A:$A&amp;CCPA_DataFile_4_3!$D:$D,CCPA_DataFile_4_3!$G:$G),2,0)</f>
        <v>0</v>
      </c>
      <c r="L16" s="34">
        <f>VLOOKUP($B16,QualitativeNotes!B:C,2,FALSE)</f>
        <v>0</v>
      </c>
    </row>
    <row r="17" spans="1:12" ht="75.75" customHeight="1" x14ac:dyDescent="0.25">
      <c r="A17" s="85">
        <v>45291</v>
      </c>
      <c r="B17" s="86" t="s">
        <v>50</v>
      </c>
      <c r="C17" s="87" t="s">
        <v>43</v>
      </c>
      <c r="D17" s="87" t="s">
        <v>51</v>
      </c>
      <c r="E17" s="87" t="s">
        <v>19</v>
      </c>
      <c r="F17" s="88" t="s">
        <v>525</v>
      </c>
      <c r="G17" s="88" t="s">
        <v>587</v>
      </c>
      <c r="H17" s="88" t="s">
        <v>560</v>
      </c>
      <c r="I17" s="89" t="s">
        <v>18</v>
      </c>
      <c r="J17" s="93" t="s">
        <v>526</v>
      </c>
      <c r="K17" s="30" cm="1">
        <f t="array" ref="K17">VLOOKUP(A17&amp;J17,CHOOSE({1,2},CCPA_DataFile_4_3!$A:$A&amp;CCPA_DataFile_4_3!$D:$D,CCPA_DataFile_4_3!$H:$H),2,0)</f>
        <v>0</v>
      </c>
      <c r="L17" s="34">
        <f>VLOOKUP($B17,QualitativeNotes!B:C,2,FALSE)</f>
        <v>0</v>
      </c>
    </row>
    <row r="18" spans="1:12" ht="75.75" customHeight="1" x14ac:dyDescent="0.25">
      <c r="A18" s="85">
        <v>45291</v>
      </c>
      <c r="B18" s="86" t="s">
        <v>50</v>
      </c>
      <c r="C18" s="87" t="s">
        <v>43</v>
      </c>
      <c r="D18" s="87" t="s">
        <v>51</v>
      </c>
      <c r="E18" s="87" t="s">
        <v>19</v>
      </c>
      <c r="F18" s="88" t="s">
        <v>525</v>
      </c>
      <c r="G18" s="88" t="s">
        <v>587</v>
      </c>
      <c r="H18" s="88" t="s">
        <v>560</v>
      </c>
      <c r="I18" s="89" t="s">
        <v>18</v>
      </c>
      <c r="J18" s="93" t="s">
        <v>527</v>
      </c>
      <c r="K18" s="30" cm="1">
        <f t="array" ref="K18">VLOOKUP(A18&amp;J18,CHOOSE({1,2},CCPA_DataFile_4_3!$A:$A&amp;CCPA_DataFile_4_3!$D:$D,CCPA_DataFile_4_3!$H:$H),2,0)</f>
        <v>0</v>
      </c>
      <c r="L18" s="34">
        <f>VLOOKUP($B18,QualitativeNotes!B:C,2,FALSE)</f>
        <v>0</v>
      </c>
    </row>
    <row r="19" spans="1:12" ht="75.75" customHeight="1" x14ac:dyDescent="0.25">
      <c r="A19" s="85">
        <v>45291</v>
      </c>
      <c r="B19" s="86" t="s">
        <v>52</v>
      </c>
      <c r="C19" s="87" t="s">
        <v>43</v>
      </c>
      <c r="D19" s="87" t="s">
        <v>53</v>
      </c>
      <c r="E19" s="87" t="s">
        <v>19</v>
      </c>
      <c r="F19" s="88" t="s">
        <v>525</v>
      </c>
      <c r="G19" s="88" t="s">
        <v>587</v>
      </c>
      <c r="H19" s="88" t="s">
        <v>560</v>
      </c>
      <c r="I19" s="89" t="s">
        <v>18</v>
      </c>
      <c r="J19" s="93" t="s">
        <v>526</v>
      </c>
      <c r="K19" s="30" cm="1">
        <f t="array" ref="K19">VLOOKUP(A19&amp;J19,CHOOSE({1,2},CCPA_DataFile_4_3!$A:$A&amp;CCPA_DataFile_4_3!$D:$D,CCPA_DataFile_4_3!$I:$I),2,0)</f>
        <v>0</v>
      </c>
      <c r="L19" s="34">
        <f>VLOOKUP($B19,QualitativeNotes!B:C,2,FALSE)</f>
        <v>0</v>
      </c>
    </row>
    <row r="20" spans="1:12" ht="75.75" customHeight="1" x14ac:dyDescent="0.25">
      <c r="A20" s="85">
        <v>45291</v>
      </c>
      <c r="B20" s="86" t="s">
        <v>52</v>
      </c>
      <c r="C20" s="87" t="s">
        <v>43</v>
      </c>
      <c r="D20" s="87" t="s">
        <v>53</v>
      </c>
      <c r="E20" s="87" t="s">
        <v>19</v>
      </c>
      <c r="F20" s="88" t="s">
        <v>525</v>
      </c>
      <c r="G20" s="88" t="s">
        <v>587</v>
      </c>
      <c r="H20" s="88" t="s">
        <v>560</v>
      </c>
      <c r="I20" s="89" t="s">
        <v>18</v>
      </c>
      <c r="J20" s="93" t="s">
        <v>527</v>
      </c>
      <c r="K20" s="30" cm="1">
        <f t="array" ref="K20">VLOOKUP(A20&amp;J20,CHOOSE({1,2},CCPA_DataFile_4_3!$A:$A&amp;CCPA_DataFile_4_3!$D:$D,CCPA_DataFile_4_3!$I:$I),2,0)</f>
        <v>0</v>
      </c>
      <c r="L20" s="34">
        <f>VLOOKUP($B20,QualitativeNotes!B:C,2,FALSE)</f>
        <v>0</v>
      </c>
    </row>
    <row r="21" spans="1:12" ht="75.75" customHeight="1" x14ac:dyDescent="0.25">
      <c r="A21" s="85">
        <v>45291</v>
      </c>
      <c r="B21" s="86" t="s">
        <v>54</v>
      </c>
      <c r="C21" s="87" t="s">
        <v>43</v>
      </c>
      <c r="D21" s="87" t="s">
        <v>55</v>
      </c>
      <c r="E21" s="87" t="s">
        <v>19</v>
      </c>
      <c r="F21" s="88" t="s">
        <v>525</v>
      </c>
      <c r="G21" s="88" t="s">
        <v>587</v>
      </c>
      <c r="H21" s="88" t="s">
        <v>560</v>
      </c>
      <c r="I21" s="89" t="s">
        <v>18</v>
      </c>
      <c r="J21" s="93" t="s">
        <v>526</v>
      </c>
      <c r="K21" s="30" cm="1">
        <f t="array" ref="K21">VLOOKUP(A21&amp;J21,CHOOSE({1,2},CCPA_DataFile_4_3!$A:$A&amp;CCPA_DataFile_4_3!$D:$D,CCPA_DataFile_4_3!$J:$J),2,0)</f>
        <v>0</v>
      </c>
      <c r="L21" s="34">
        <f>VLOOKUP($B21,QualitativeNotes!B:C,2,FALSE)</f>
        <v>0</v>
      </c>
    </row>
    <row r="22" spans="1:12" ht="75.75" customHeight="1" x14ac:dyDescent="0.25">
      <c r="A22" s="85">
        <v>45291</v>
      </c>
      <c r="B22" s="86" t="s">
        <v>54</v>
      </c>
      <c r="C22" s="87" t="s">
        <v>43</v>
      </c>
      <c r="D22" s="87" t="s">
        <v>55</v>
      </c>
      <c r="E22" s="87" t="s">
        <v>19</v>
      </c>
      <c r="F22" s="88" t="s">
        <v>525</v>
      </c>
      <c r="G22" s="88" t="s">
        <v>587</v>
      </c>
      <c r="H22" s="88" t="s">
        <v>560</v>
      </c>
      <c r="I22" s="89" t="s">
        <v>18</v>
      </c>
      <c r="J22" s="93" t="s">
        <v>527</v>
      </c>
      <c r="K22" s="30" cm="1">
        <f t="array" ref="K22">VLOOKUP(A22&amp;J22,CHOOSE({1,2},CCPA_DataFile_4_3!$A:$A&amp;CCPA_DataFile_4_3!$D:$D,CCPA_DataFile_4_3!$J:$J),2,0)</f>
        <v>0</v>
      </c>
      <c r="L22" s="34">
        <f>VLOOKUP($B22,QualitativeNotes!B:C,2,FALSE)</f>
        <v>0</v>
      </c>
    </row>
    <row r="23" spans="1:12" ht="75.75" customHeight="1" x14ac:dyDescent="0.25">
      <c r="A23" s="85">
        <v>45291</v>
      </c>
      <c r="B23" s="86" t="s">
        <v>56</v>
      </c>
      <c r="C23" s="87" t="s">
        <v>43</v>
      </c>
      <c r="D23" s="87" t="s">
        <v>57</v>
      </c>
      <c r="E23" s="87" t="s">
        <v>19</v>
      </c>
      <c r="F23" s="88" t="s">
        <v>525</v>
      </c>
      <c r="G23" s="88" t="s">
        <v>587</v>
      </c>
      <c r="H23" s="88" t="s">
        <v>560</v>
      </c>
      <c r="I23" s="89" t="s">
        <v>18</v>
      </c>
      <c r="J23" s="93" t="s">
        <v>526</v>
      </c>
      <c r="K23" s="30" cm="1">
        <f t="array" ref="K23">VLOOKUP(A23&amp;J23,CHOOSE({1,2},CCPA_DataFile_4_3!$A:$A&amp;CCPA_DataFile_4_3!$D:$D,CCPA_DataFile_4_3!$K:$K),2,0)</f>
        <v>0</v>
      </c>
      <c r="L23" s="34">
        <f>VLOOKUP($B23,QualitativeNotes!B:C,2,FALSE)</f>
        <v>0</v>
      </c>
    </row>
    <row r="24" spans="1:12" ht="75.75" customHeight="1" x14ac:dyDescent="0.25">
      <c r="A24" s="85">
        <v>45291</v>
      </c>
      <c r="B24" s="86" t="s">
        <v>56</v>
      </c>
      <c r="C24" s="87" t="s">
        <v>43</v>
      </c>
      <c r="D24" s="87" t="s">
        <v>57</v>
      </c>
      <c r="E24" s="87" t="s">
        <v>19</v>
      </c>
      <c r="F24" s="88" t="s">
        <v>525</v>
      </c>
      <c r="G24" s="88" t="s">
        <v>587</v>
      </c>
      <c r="H24" s="88" t="s">
        <v>560</v>
      </c>
      <c r="I24" s="89" t="s">
        <v>18</v>
      </c>
      <c r="J24" s="93" t="s">
        <v>527</v>
      </c>
      <c r="K24" s="30" cm="1">
        <f t="array" ref="K24">VLOOKUP(A24&amp;J24,CHOOSE({1,2},CCPA_DataFile_4_3!$A:$A&amp;CCPA_DataFile_4_3!$D:$D,CCPA_DataFile_4_3!$K:$K),2,0)</f>
        <v>0</v>
      </c>
      <c r="L24" s="34">
        <f>VLOOKUP($B24,QualitativeNotes!B:C,2,FALSE)</f>
        <v>0</v>
      </c>
    </row>
    <row r="25" spans="1:12" ht="75.75" customHeight="1" x14ac:dyDescent="0.25">
      <c r="A25" s="85">
        <v>45291</v>
      </c>
      <c r="B25" s="86" t="s">
        <v>58</v>
      </c>
      <c r="C25" s="87" t="s">
        <v>43</v>
      </c>
      <c r="D25" s="87" t="s">
        <v>59</v>
      </c>
      <c r="E25" s="87" t="s">
        <v>19</v>
      </c>
      <c r="F25" s="88" t="s">
        <v>525</v>
      </c>
      <c r="G25" s="88" t="s">
        <v>587</v>
      </c>
      <c r="H25" s="88" t="s">
        <v>560</v>
      </c>
      <c r="I25" s="89" t="s">
        <v>18</v>
      </c>
      <c r="J25" s="93" t="s">
        <v>526</v>
      </c>
      <c r="K25" s="30" cm="1">
        <f t="array" ref="K25">VLOOKUP(A25&amp;J25,CHOOSE({1,2},CCPA_DataFile_4_3!$A:$A&amp;CCPA_DataFile_4_3!$D:$D,CCPA_DataFile_4_3!$L:$L),2,0)</f>
        <v>0</v>
      </c>
      <c r="L25" s="34">
        <f>VLOOKUP($B25,QualitativeNotes!B:C,2,FALSE)</f>
        <v>0</v>
      </c>
    </row>
    <row r="26" spans="1:12" ht="75.75" customHeight="1" x14ac:dyDescent="0.25">
      <c r="A26" s="85">
        <v>45291</v>
      </c>
      <c r="B26" s="86" t="s">
        <v>58</v>
      </c>
      <c r="C26" s="87" t="s">
        <v>43</v>
      </c>
      <c r="D26" s="87" t="s">
        <v>59</v>
      </c>
      <c r="E26" s="87" t="s">
        <v>19</v>
      </c>
      <c r="F26" s="88" t="s">
        <v>525</v>
      </c>
      <c r="G26" s="88" t="s">
        <v>587</v>
      </c>
      <c r="H26" s="88" t="s">
        <v>560</v>
      </c>
      <c r="I26" s="89" t="s">
        <v>18</v>
      </c>
      <c r="J26" s="93" t="s">
        <v>527</v>
      </c>
      <c r="K26" s="30" cm="1">
        <f t="array" ref="K26">VLOOKUP(A26&amp;J26,CHOOSE({1,2},CCPA_DataFile_4_3!$A:$A&amp;CCPA_DataFile_4_3!$D:$D,CCPA_DataFile_4_3!$L:$L),2,0)</f>
        <v>0</v>
      </c>
      <c r="L26" s="34">
        <f>VLOOKUP($B26,QualitativeNotes!B:C,2,FALSE)</f>
        <v>0</v>
      </c>
    </row>
    <row r="27" spans="1:12" ht="75.75" customHeight="1" x14ac:dyDescent="0.25">
      <c r="A27" s="85">
        <v>45291</v>
      </c>
      <c r="B27" s="86" t="s">
        <v>60</v>
      </c>
      <c r="C27" s="87" t="s">
        <v>43</v>
      </c>
      <c r="D27" s="87" t="s">
        <v>61</v>
      </c>
      <c r="E27" s="87" t="s">
        <v>19</v>
      </c>
      <c r="F27" s="88" t="s">
        <v>525</v>
      </c>
      <c r="G27" s="88" t="s">
        <v>587</v>
      </c>
      <c r="H27" s="88" t="s">
        <v>560</v>
      </c>
      <c r="I27" s="89" t="s">
        <v>18</v>
      </c>
      <c r="J27" s="93" t="s">
        <v>526</v>
      </c>
      <c r="K27" s="30" cm="1">
        <f t="array" ref="K27">VLOOKUP(A27&amp;J27,CHOOSE({1,2},CCPA_DataFile_4_3!$A:$A&amp;CCPA_DataFile_4_3!$D:$D,CCPA_DataFile_4_3!$M:$M),2,0)</f>
        <v>0</v>
      </c>
      <c r="L27" s="34">
        <f>VLOOKUP($B27,QualitativeNotes!B:C,2,FALSE)</f>
        <v>0</v>
      </c>
    </row>
    <row r="28" spans="1:12" ht="75.75" customHeight="1" x14ac:dyDescent="0.25">
      <c r="A28" s="85">
        <v>45291</v>
      </c>
      <c r="B28" s="86" t="s">
        <v>60</v>
      </c>
      <c r="C28" s="87" t="s">
        <v>43</v>
      </c>
      <c r="D28" s="87" t="s">
        <v>61</v>
      </c>
      <c r="E28" s="87" t="s">
        <v>19</v>
      </c>
      <c r="F28" s="88" t="s">
        <v>525</v>
      </c>
      <c r="G28" s="88" t="s">
        <v>587</v>
      </c>
      <c r="H28" s="88" t="s">
        <v>560</v>
      </c>
      <c r="I28" s="89" t="s">
        <v>18</v>
      </c>
      <c r="J28" s="93" t="s">
        <v>527</v>
      </c>
      <c r="K28" s="30" cm="1">
        <f t="array" ref="K28">VLOOKUP(A28&amp;J28,CHOOSE({1,2},CCPA_DataFile_4_3!$A:$A&amp;CCPA_DataFile_4_3!$D:$D,CCPA_DataFile_4_3!$M:$M),2,0)</f>
        <v>0</v>
      </c>
      <c r="L28" s="34">
        <f>VLOOKUP($B28,QualitativeNotes!B:C,2,FALSE)</f>
        <v>0</v>
      </c>
    </row>
    <row r="29" spans="1:12" ht="75.75" customHeight="1" x14ac:dyDescent="0.25">
      <c r="A29" s="85">
        <v>45291</v>
      </c>
      <c r="B29" s="86" t="s">
        <v>62</v>
      </c>
      <c r="C29" s="87" t="s">
        <v>43</v>
      </c>
      <c r="D29" s="87" t="s">
        <v>63</v>
      </c>
      <c r="E29" s="87" t="s">
        <v>19</v>
      </c>
      <c r="F29" s="88" t="s">
        <v>525</v>
      </c>
      <c r="G29" s="88" t="s">
        <v>587</v>
      </c>
      <c r="H29" s="88" t="s">
        <v>560</v>
      </c>
      <c r="I29" s="89" t="s">
        <v>18</v>
      </c>
      <c r="J29" s="93" t="s">
        <v>526</v>
      </c>
      <c r="K29" s="30" cm="1">
        <f t="array" ref="K29">VLOOKUP(A29&amp;J29,CHOOSE({1,2},CCPA_DataFile_4_3!$A:$A&amp;CCPA_DataFile_4_3!$D:$D,CCPA_DataFile_4_3!$N:$N),2,0)</f>
        <v>0</v>
      </c>
      <c r="L29" s="34">
        <f>VLOOKUP($B29,QualitativeNotes!B:C,2,FALSE)</f>
        <v>0</v>
      </c>
    </row>
    <row r="30" spans="1:12" ht="75.75" customHeight="1" x14ac:dyDescent="0.25">
      <c r="A30" s="85">
        <v>45291</v>
      </c>
      <c r="B30" s="86" t="s">
        <v>62</v>
      </c>
      <c r="C30" s="87" t="s">
        <v>43</v>
      </c>
      <c r="D30" s="87" t="s">
        <v>63</v>
      </c>
      <c r="E30" s="87" t="s">
        <v>19</v>
      </c>
      <c r="F30" s="88" t="s">
        <v>525</v>
      </c>
      <c r="G30" s="88" t="s">
        <v>587</v>
      </c>
      <c r="H30" s="88" t="s">
        <v>560</v>
      </c>
      <c r="I30" s="89" t="s">
        <v>18</v>
      </c>
      <c r="J30" s="93" t="s">
        <v>527</v>
      </c>
      <c r="K30" s="30" cm="1">
        <f t="array" ref="K30">VLOOKUP(A30&amp;J30,CHOOSE({1,2},CCPA_DataFile_4_3!$A:$A&amp;CCPA_DataFile_4_3!$D:$D,CCPA_DataFile_4_3!$N:$N),2,0)</f>
        <v>0</v>
      </c>
      <c r="L30" s="34">
        <f>VLOOKUP($B30,QualitativeNotes!B:C,2,FALSE)</f>
        <v>0</v>
      </c>
    </row>
    <row r="31" spans="1:12" ht="75.75" customHeight="1" x14ac:dyDescent="0.25">
      <c r="A31" s="85">
        <v>45291</v>
      </c>
      <c r="B31" s="86" t="s">
        <v>64</v>
      </c>
      <c r="C31" s="87" t="s">
        <v>43</v>
      </c>
      <c r="D31" s="87" t="s">
        <v>65</v>
      </c>
      <c r="E31" s="87" t="s">
        <v>19</v>
      </c>
      <c r="F31" s="88" t="s">
        <v>525</v>
      </c>
      <c r="G31" s="88" t="s">
        <v>587</v>
      </c>
      <c r="H31" s="88" t="s">
        <v>560</v>
      </c>
      <c r="I31" s="89" t="s">
        <v>18</v>
      </c>
      <c r="J31" s="93" t="s">
        <v>526</v>
      </c>
      <c r="K31" s="30" cm="1">
        <f t="array" ref="K31">VLOOKUP(A31&amp;J31,CHOOSE({1,2},CCPA_DataFile_4_3!$A:$A&amp;CCPA_DataFile_4_3!$D:$D,CCPA_DataFile_4_3!$O:$O),2,0)</f>
        <v>0</v>
      </c>
      <c r="L31" s="34">
        <f>VLOOKUP($B31,QualitativeNotes!B:C,2,FALSE)</f>
        <v>0</v>
      </c>
    </row>
    <row r="32" spans="1:12" ht="75.75" customHeight="1" x14ac:dyDescent="0.25">
      <c r="A32" s="85">
        <v>45291</v>
      </c>
      <c r="B32" s="86" t="s">
        <v>64</v>
      </c>
      <c r="C32" s="87" t="s">
        <v>43</v>
      </c>
      <c r="D32" s="87" t="s">
        <v>65</v>
      </c>
      <c r="E32" s="87" t="s">
        <v>19</v>
      </c>
      <c r="F32" s="88" t="s">
        <v>525</v>
      </c>
      <c r="G32" s="88" t="s">
        <v>587</v>
      </c>
      <c r="H32" s="88" t="s">
        <v>560</v>
      </c>
      <c r="I32" s="89" t="s">
        <v>18</v>
      </c>
      <c r="J32" s="93" t="s">
        <v>527</v>
      </c>
      <c r="K32" s="30" cm="1">
        <f t="array" ref="K32">VLOOKUP(A32&amp;J32,CHOOSE({1,2},CCPA_DataFile_4_3!$A:$A&amp;CCPA_DataFile_4_3!$D:$D,CCPA_DataFile_4_3!$O:$O),2,0)</f>
        <v>0</v>
      </c>
      <c r="L32" s="34">
        <f>VLOOKUP($B32,QualitativeNotes!B:C,2,FALSE)</f>
        <v>0</v>
      </c>
    </row>
    <row r="33" spans="1:12" ht="75.75" customHeight="1" x14ac:dyDescent="0.25">
      <c r="A33" s="85">
        <v>45291</v>
      </c>
      <c r="B33" s="86" t="s">
        <v>66</v>
      </c>
      <c r="C33" s="87" t="s">
        <v>43</v>
      </c>
      <c r="D33" s="87" t="s">
        <v>67</v>
      </c>
      <c r="E33" s="87" t="s">
        <v>19</v>
      </c>
      <c r="F33" s="88" t="s">
        <v>525</v>
      </c>
      <c r="G33" s="88" t="s">
        <v>587</v>
      </c>
      <c r="H33" s="88" t="s">
        <v>560</v>
      </c>
      <c r="I33" s="89" t="s">
        <v>18</v>
      </c>
      <c r="J33" s="93" t="s">
        <v>526</v>
      </c>
      <c r="K33" s="30" cm="1">
        <f t="array" ref="K33">VLOOKUP(A33&amp;J33,CHOOSE({1,2},CCPA_DataFile_4_3!$A:$A&amp;CCPA_DataFile_4_3!$D:$D,CCPA_DataFile_4_3!$P:$P),2,0)</f>
        <v>0</v>
      </c>
      <c r="L33" s="34">
        <f>VLOOKUP($B33,QualitativeNotes!B:C,2,FALSE)</f>
        <v>0</v>
      </c>
    </row>
    <row r="34" spans="1:12" ht="75.75" customHeight="1" x14ac:dyDescent="0.25">
      <c r="A34" s="85">
        <v>45291</v>
      </c>
      <c r="B34" s="86" t="s">
        <v>66</v>
      </c>
      <c r="C34" s="87" t="s">
        <v>43</v>
      </c>
      <c r="D34" s="87" t="s">
        <v>67</v>
      </c>
      <c r="E34" s="87" t="s">
        <v>19</v>
      </c>
      <c r="F34" s="88" t="s">
        <v>525</v>
      </c>
      <c r="G34" s="88" t="s">
        <v>587</v>
      </c>
      <c r="H34" s="88" t="s">
        <v>560</v>
      </c>
      <c r="I34" s="89" t="s">
        <v>18</v>
      </c>
      <c r="J34" s="93" t="s">
        <v>527</v>
      </c>
      <c r="K34" s="30" cm="1">
        <f t="array" ref="K34">VLOOKUP(A34&amp;J34,CHOOSE({1,2},CCPA_DataFile_4_3!$A:$A&amp;CCPA_DataFile_4_3!$D:$D,CCPA_DataFile_4_3!$P:$P),2,0)</f>
        <v>0</v>
      </c>
      <c r="L34" s="34">
        <f>VLOOKUP($B34,QualitativeNotes!B:C,2,FALSE)</f>
        <v>0</v>
      </c>
    </row>
    <row r="35" spans="1:12" ht="75.75" customHeight="1" x14ac:dyDescent="0.25">
      <c r="A35" s="85">
        <v>45291</v>
      </c>
      <c r="B35" s="86" t="s">
        <v>68</v>
      </c>
      <c r="C35" s="87" t="s">
        <v>43</v>
      </c>
      <c r="D35" s="87" t="s">
        <v>69</v>
      </c>
      <c r="E35" s="87" t="s">
        <v>19</v>
      </c>
      <c r="F35" s="88" t="s">
        <v>525</v>
      </c>
      <c r="G35" s="88" t="s">
        <v>587</v>
      </c>
      <c r="H35" s="88" t="s">
        <v>560</v>
      </c>
      <c r="I35" s="89" t="s">
        <v>18</v>
      </c>
      <c r="J35" s="93" t="s">
        <v>526</v>
      </c>
      <c r="K35" s="30" cm="1">
        <f t="array" ref="K35">VLOOKUP(A35&amp;J35,CHOOSE({1,2},CCPA_DataFile_4_3!$A:$A&amp;CCPA_DataFile_4_3!$D:$D,CCPA_DataFile_4_3!$Q:$Q),2,0)</f>
        <v>0</v>
      </c>
      <c r="L35" s="34">
        <f>VLOOKUP($B35,QualitativeNotes!B:C,2,FALSE)</f>
        <v>0</v>
      </c>
    </row>
    <row r="36" spans="1:12" ht="75.75" customHeight="1" x14ac:dyDescent="0.25">
      <c r="A36" s="85">
        <v>45291</v>
      </c>
      <c r="B36" s="86" t="s">
        <v>68</v>
      </c>
      <c r="C36" s="87" t="s">
        <v>43</v>
      </c>
      <c r="D36" s="87" t="s">
        <v>69</v>
      </c>
      <c r="E36" s="87" t="s">
        <v>19</v>
      </c>
      <c r="F36" s="88" t="s">
        <v>525</v>
      </c>
      <c r="G36" s="88" t="s">
        <v>587</v>
      </c>
      <c r="H36" s="88" t="s">
        <v>560</v>
      </c>
      <c r="I36" s="89" t="s">
        <v>18</v>
      </c>
      <c r="J36" s="93" t="s">
        <v>527</v>
      </c>
      <c r="K36" s="30" cm="1">
        <f t="array" ref="K36">VLOOKUP(A36&amp;J36,CHOOSE({1,2},CCPA_DataFile_4_3!$A:$A&amp;CCPA_DataFile_4_3!$D:$D,CCPA_DataFile_4_3!$Q:$Q),2,0)</f>
        <v>0</v>
      </c>
      <c r="L36" s="34">
        <f>VLOOKUP($B36,QualitativeNotes!B:C,2,FALSE)</f>
        <v>0</v>
      </c>
    </row>
    <row r="37" spans="1:12" ht="75.75" customHeight="1" x14ac:dyDescent="0.25">
      <c r="A37" s="85">
        <v>45291</v>
      </c>
      <c r="B37" s="86" t="s">
        <v>70</v>
      </c>
      <c r="C37" s="87" t="s">
        <v>43</v>
      </c>
      <c r="D37" s="87" t="s">
        <v>71</v>
      </c>
      <c r="E37" s="87" t="s">
        <v>19</v>
      </c>
      <c r="F37" s="88" t="s">
        <v>525</v>
      </c>
      <c r="G37" s="88" t="s">
        <v>587</v>
      </c>
      <c r="H37" s="88" t="s">
        <v>560</v>
      </c>
      <c r="I37" s="89" t="s">
        <v>18</v>
      </c>
      <c r="J37" s="93" t="s">
        <v>526</v>
      </c>
      <c r="K37" s="30" cm="1">
        <f t="array" ref="K37">VLOOKUP(A37&amp;J37,CHOOSE({1,2},CCPA_DataFile_4_3!$A:$A&amp;CCPA_DataFile_4_3!$D:$D,CCPA_DataFile_4_3!$R:$R),2,0)</f>
        <v>0</v>
      </c>
      <c r="L37" s="34">
        <f>VLOOKUP($B37,QualitativeNotes!B:C,2,FALSE)</f>
        <v>0</v>
      </c>
    </row>
    <row r="38" spans="1:12" ht="75.75" customHeight="1" x14ac:dyDescent="0.25">
      <c r="A38" s="85">
        <v>45291</v>
      </c>
      <c r="B38" s="86" t="s">
        <v>70</v>
      </c>
      <c r="C38" s="87" t="s">
        <v>43</v>
      </c>
      <c r="D38" s="87" t="s">
        <v>71</v>
      </c>
      <c r="E38" s="87" t="s">
        <v>19</v>
      </c>
      <c r="F38" s="88" t="s">
        <v>525</v>
      </c>
      <c r="G38" s="88" t="s">
        <v>587</v>
      </c>
      <c r="H38" s="88" t="s">
        <v>560</v>
      </c>
      <c r="I38" s="89" t="s">
        <v>18</v>
      </c>
      <c r="J38" s="93" t="s">
        <v>527</v>
      </c>
      <c r="K38" s="30" cm="1">
        <f t="array" ref="K38">VLOOKUP(A38&amp;J38,CHOOSE({1,2},CCPA_DataFile_4_3!$A:$A&amp;CCPA_DataFile_4_3!$D:$D,CCPA_DataFile_4_3!$R:$R),2,0)</f>
        <v>0</v>
      </c>
      <c r="L38" s="34">
        <f>VLOOKUP($B38,QualitativeNotes!B:C,2,FALSE)</f>
        <v>0</v>
      </c>
    </row>
    <row r="39" spans="1:12" ht="75.75" customHeight="1" x14ac:dyDescent="0.25">
      <c r="A39" s="85">
        <v>45291</v>
      </c>
      <c r="B39" s="86" t="s">
        <v>72</v>
      </c>
      <c r="C39" s="87" t="s">
        <v>43</v>
      </c>
      <c r="D39" s="87" t="s">
        <v>73</v>
      </c>
      <c r="E39" s="87" t="s">
        <v>19</v>
      </c>
      <c r="F39" s="88" t="s">
        <v>525</v>
      </c>
      <c r="G39" s="88" t="s">
        <v>587</v>
      </c>
      <c r="H39" s="88" t="s">
        <v>560</v>
      </c>
      <c r="I39" s="89" t="s">
        <v>18</v>
      </c>
      <c r="J39" s="93" t="s">
        <v>526</v>
      </c>
      <c r="K39" s="30" cm="1">
        <f t="array" ref="K39">VLOOKUP(A39&amp;J39,CHOOSE({1,2},CCPA_DataFile_4_3!$A:$A&amp;CCPA_DataFile_4_3!$D:$D,CCPA_DataFile_4_3!$S:$S),2,0)</f>
        <v>0</v>
      </c>
      <c r="L39" s="34">
        <f>VLOOKUP($B39,QualitativeNotes!B:C,2,FALSE)</f>
        <v>0</v>
      </c>
    </row>
    <row r="40" spans="1:12" ht="75.75" customHeight="1" x14ac:dyDescent="0.25">
      <c r="A40" s="85">
        <v>45291</v>
      </c>
      <c r="B40" s="86" t="s">
        <v>72</v>
      </c>
      <c r="C40" s="87" t="s">
        <v>43</v>
      </c>
      <c r="D40" s="87" t="s">
        <v>73</v>
      </c>
      <c r="E40" s="87" t="s">
        <v>19</v>
      </c>
      <c r="F40" s="88" t="s">
        <v>525</v>
      </c>
      <c r="G40" s="88" t="s">
        <v>587</v>
      </c>
      <c r="H40" s="88" t="s">
        <v>560</v>
      </c>
      <c r="I40" s="89" t="s">
        <v>18</v>
      </c>
      <c r="J40" s="93" t="s">
        <v>527</v>
      </c>
      <c r="K40" s="30" cm="1">
        <f t="array" ref="K40">VLOOKUP(A40&amp;J40,CHOOSE({1,2},CCPA_DataFile_4_3!$A:$A&amp;CCPA_DataFile_4_3!$D:$D,CCPA_DataFile_4_3!$S:$S),2,0)</f>
        <v>0</v>
      </c>
      <c r="L40" s="34">
        <f>VLOOKUP($B40,QualitativeNotes!B:C,2,FALSE)</f>
        <v>0</v>
      </c>
    </row>
    <row r="41" spans="1:12" ht="71.25" customHeight="1" x14ac:dyDescent="0.25">
      <c r="A41" s="85">
        <v>45291</v>
      </c>
      <c r="B41" s="86" t="s">
        <v>75</v>
      </c>
      <c r="C41" s="87" t="s">
        <v>74</v>
      </c>
      <c r="D41" s="87" t="s">
        <v>76</v>
      </c>
      <c r="E41" s="87" t="s">
        <v>19</v>
      </c>
      <c r="F41" s="88" t="s">
        <v>525</v>
      </c>
      <c r="G41" s="88" t="s">
        <v>587</v>
      </c>
      <c r="H41" s="88" t="s">
        <v>560</v>
      </c>
      <c r="I41" s="89" t="s">
        <v>18</v>
      </c>
      <c r="J41" s="93" t="s">
        <v>526</v>
      </c>
      <c r="K41" s="30" cm="1">
        <f t="array" ref="K41">VLOOKUP(A41&amp;J41,CHOOSE({1,2},CCPA_DataFile_4_3!$A:$A&amp;CCPA_DataFile_4_3!$D:$D,CCPA_DataFile_4_3!$T:$T),2,0)</f>
        <v>24929390.620000001</v>
      </c>
      <c r="L41" s="34">
        <f>VLOOKUP($B41,QualitativeNotes!B:C,2,FALSE)</f>
        <v>0</v>
      </c>
    </row>
    <row r="42" spans="1:12" ht="71.25" customHeight="1" x14ac:dyDescent="0.25">
      <c r="A42" s="85">
        <v>45291</v>
      </c>
      <c r="B42" s="86" t="s">
        <v>75</v>
      </c>
      <c r="C42" s="87" t="s">
        <v>74</v>
      </c>
      <c r="D42" s="87" t="s">
        <v>76</v>
      </c>
      <c r="E42" s="87" t="s">
        <v>19</v>
      </c>
      <c r="F42" s="88" t="s">
        <v>525</v>
      </c>
      <c r="G42" s="88" t="s">
        <v>587</v>
      </c>
      <c r="H42" s="88" t="s">
        <v>560</v>
      </c>
      <c r="I42" s="89" t="s">
        <v>18</v>
      </c>
      <c r="J42" s="93" t="s">
        <v>527</v>
      </c>
      <c r="K42" s="30" cm="1">
        <f t="array" ref="K42">VLOOKUP(A42&amp;J42,CHOOSE({1,2},CCPA_DataFile_4_3!$A:$A&amp;CCPA_DataFile_4_3!$D:$D,CCPA_DataFile_4_3!$T:$T),2,0)</f>
        <v>24929390.620000001</v>
      </c>
      <c r="L42" s="34">
        <f>VLOOKUP($B42,QualitativeNotes!B:C,2,FALSE)</f>
        <v>0</v>
      </c>
    </row>
    <row r="43" spans="1:12" ht="45" x14ac:dyDescent="0.25">
      <c r="A43" s="85">
        <v>45291</v>
      </c>
      <c r="B43" s="86" t="s">
        <v>78</v>
      </c>
      <c r="C43" s="87" t="s">
        <v>77</v>
      </c>
      <c r="D43" s="87" t="s">
        <v>79</v>
      </c>
      <c r="E43" s="87" t="s">
        <v>4</v>
      </c>
      <c r="F43" s="88" t="s">
        <v>525</v>
      </c>
      <c r="G43" s="88" t="s">
        <v>587</v>
      </c>
      <c r="H43" s="88" t="s">
        <v>560</v>
      </c>
      <c r="I43" s="89" t="s">
        <v>18</v>
      </c>
      <c r="J43" s="93"/>
      <c r="K43" s="17" t="str">
        <f>VLOOKUP(A43,CCPA_AggregateDataFile!$A:$DU,16,0)</f>
        <v>cover 2</v>
      </c>
      <c r="L43" s="34">
        <f>VLOOKUP($B43,QualitativeNotes!B:C,2,FALSE)</f>
        <v>0</v>
      </c>
    </row>
    <row r="44" spans="1:12" ht="60" x14ac:dyDescent="0.25">
      <c r="A44" s="85">
        <v>45291</v>
      </c>
      <c r="B44" s="86" t="s">
        <v>6</v>
      </c>
      <c r="C44" s="87" t="s">
        <v>77</v>
      </c>
      <c r="D44" s="87" t="s">
        <v>80</v>
      </c>
      <c r="E44" s="87" t="s">
        <v>4</v>
      </c>
      <c r="F44" s="88" t="s">
        <v>525</v>
      </c>
      <c r="G44" s="88" t="s">
        <v>587</v>
      </c>
      <c r="H44" s="88" t="s">
        <v>560</v>
      </c>
      <c r="I44" s="89" t="s">
        <v>18</v>
      </c>
      <c r="J44" s="93"/>
      <c r="K44" s="17">
        <f>VLOOKUP(A44,CCPA_AggregateDataFile!$A:$DU,17,0)</f>
        <v>3</v>
      </c>
      <c r="L44" s="34">
        <f>VLOOKUP($B44,QualitativeNotes!B:C,2,FALSE)</f>
        <v>0</v>
      </c>
    </row>
    <row r="45" spans="1:12" ht="150.75" customHeight="1" x14ac:dyDescent="0.25">
      <c r="A45" s="85">
        <v>45291</v>
      </c>
      <c r="B45" s="86" t="s">
        <v>81</v>
      </c>
      <c r="C45" s="87" t="s">
        <v>77</v>
      </c>
      <c r="D45" s="87" t="s">
        <v>82</v>
      </c>
      <c r="E45" s="87" t="s">
        <v>42</v>
      </c>
      <c r="F45" s="88" t="s">
        <v>525</v>
      </c>
      <c r="G45" s="88" t="s">
        <v>587</v>
      </c>
      <c r="H45" s="88" t="s">
        <v>560</v>
      </c>
      <c r="I45" s="89" t="s">
        <v>18</v>
      </c>
      <c r="J45" s="93" t="s">
        <v>528</v>
      </c>
      <c r="K45" s="30" cm="1">
        <f t="array" ref="K45">VLOOKUP(A45&amp;J45,CHOOSE({1,2},CCPA_DataFile_4_4a!$A:$A&amp;CCPA_DataFile_4_4a!$D:$D,CCPA_DataFile_4_4a!$F:$F),2,0)</f>
        <v>5967383.5541666662</v>
      </c>
      <c r="L45" s="34">
        <f>VLOOKUP($B45,QualitativeNotes!B:C,2,FALSE)</f>
        <v>0</v>
      </c>
    </row>
    <row r="46" spans="1:12" ht="150.75" customHeight="1" x14ac:dyDescent="0.25">
      <c r="A46" s="85">
        <v>45291</v>
      </c>
      <c r="B46" s="86" t="s">
        <v>81</v>
      </c>
      <c r="C46" s="87" t="s">
        <v>77</v>
      </c>
      <c r="D46" s="87" t="s">
        <v>82</v>
      </c>
      <c r="E46" s="87" t="s">
        <v>42</v>
      </c>
      <c r="F46" s="88" t="s">
        <v>525</v>
      </c>
      <c r="G46" s="88" t="s">
        <v>587</v>
      </c>
      <c r="H46" s="88" t="s">
        <v>560</v>
      </c>
      <c r="I46" s="89" t="s">
        <v>18</v>
      </c>
      <c r="J46" s="93" t="s">
        <v>561</v>
      </c>
      <c r="K46" s="30" cm="1">
        <f t="array" ref="K46">VLOOKUP(A46&amp;J46,CHOOSE({1,2},CCPA_DataFile_4_4a!$A:$A&amp;CCPA_DataFile_4_4a!$D:$D,CCPA_DataFile_4_4a!$F:$F),2,0)</f>
        <v>9662937.7100000009</v>
      </c>
      <c r="L46" s="34">
        <f>VLOOKUP($B46,QualitativeNotes!B:C,2,FALSE)</f>
        <v>0</v>
      </c>
    </row>
    <row r="47" spans="1:12" ht="87.75" customHeight="1" x14ac:dyDescent="0.25">
      <c r="A47" s="85">
        <v>45291</v>
      </c>
      <c r="B47" s="86" t="s">
        <v>86</v>
      </c>
      <c r="C47" s="87" t="s">
        <v>77</v>
      </c>
      <c r="D47" s="87" t="s">
        <v>87</v>
      </c>
      <c r="E47" s="87" t="s">
        <v>88</v>
      </c>
      <c r="F47" s="88" t="s">
        <v>525</v>
      </c>
      <c r="G47" s="88" t="s">
        <v>587</v>
      </c>
      <c r="H47" s="88" t="s">
        <v>560</v>
      </c>
      <c r="I47" s="89" t="s">
        <v>18</v>
      </c>
      <c r="J47" s="93"/>
      <c r="K47" s="31">
        <f>VLOOKUP(A47,CCPA_AggregateDataFile!$A:$DU,18,0)</f>
        <v>0</v>
      </c>
      <c r="L47" s="34">
        <f>VLOOKUP($B47,QualitativeNotes!B:C,2,FALSE)</f>
        <v>0</v>
      </c>
    </row>
    <row r="48" spans="1:12" ht="87.75" customHeight="1" x14ac:dyDescent="0.25">
      <c r="A48" s="85">
        <v>45291</v>
      </c>
      <c r="B48" s="86" t="s">
        <v>89</v>
      </c>
      <c r="C48" s="87" t="s">
        <v>77</v>
      </c>
      <c r="D48" s="87" t="s">
        <v>90</v>
      </c>
      <c r="E48" s="87" t="s">
        <v>19</v>
      </c>
      <c r="F48" s="88" t="s">
        <v>525</v>
      </c>
      <c r="G48" s="88" t="s">
        <v>587</v>
      </c>
      <c r="H48" s="88" t="s">
        <v>560</v>
      </c>
      <c r="I48" s="89" t="s">
        <v>18</v>
      </c>
      <c r="J48" s="93"/>
      <c r="K48" s="30">
        <f>VLOOKUP(A48,CCPA_DataFile_4_4b!$A:$G,6,0)</f>
        <v>0</v>
      </c>
      <c r="L48" s="34">
        <f>VLOOKUP($B48,QualitativeNotes!B:C,2,FALSE)</f>
        <v>0</v>
      </c>
    </row>
    <row r="49" spans="1:12" ht="122.25" customHeight="1" x14ac:dyDescent="0.25">
      <c r="A49" s="85">
        <v>45291</v>
      </c>
      <c r="B49" s="86" t="s">
        <v>93</v>
      </c>
      <c r="C49" s="87" t="s">
        <v>77</v>
      </c>
      <c r="D49" s="87" t="s">
        <v>94</v>
      </c>
      <c r="E49" s="87" t="s">
        <v>19</v>
      </c>
      <c r="F49" s="88" t="s">
        <v>525</v>
      </c>
      <c r="G49" s="88" t="s">
        <v>587</v>
      </c>
      <c r="H49" s="88" t="s">
        <v>560</v>
      </c>
      <c r="I49" s="89" t="s">
        <v>18</v>
      </c>
      <c r="J49" s="93" t="s">
        <v>528</v>
      </c>
      <c r="K49" s="30" cm="1">
        <f t="array" ref="K49">VLOOKUP(A49&amp;J49,CHOOSE({1,2},CCPA_DataFile_4_4a!$A:$A&amp;CCPA_DataFile_4_4a!$D:$D,CCPA_DataFile_4_4a!$G:$G),2,0)</f>
        <v>0</v>
      </c>
      <c r="L49" s="34">
        <f>VLOOKUP($B49,QualitativeNotes!B:C,2,FALSE)</f>
        <v>0</v>
      </c>
    </row>
    <row r="50" spans="1:12" ht="122.25" customHeight="1" x14ac:dyDescent="0.25">
      <c r="A50" s="85">
        <v>45291</v>
      </c>
      <c r="B50" s="86" t="s">
        <v>93</v>
      </c>
      <c r="C50" s="87" t="s">
        <v>77</v>
      </c>
      <c r="D50" s="87" t="s">
        <v>94</v>
      </c>
      <c r="E50" s="87" t="s">
        <v>19</v>
      </c>
      <c r="F50" s="88" t="s">
        <v>525</v>
      </c>
      <c r="G50" s="88" t="s">
        <v>587</v>
      </c>
      <c r="H50" s="88" t="s">
        <v>560</v>
      </c>
      <c r="I50" s="89" t="s">
        <v>18</v>
      </c>
      <c r="J50" s="93" t="s">
        <v>561</v>
      </c>
      <c r="K50" s="30" cm="1">
        <f t="array" ref="K50">VLOOKUP(A50&amp;J50,CHOOSE({1,2},CCPA_DataFile_4_4a!$A:$A&amp;CCPA_DataFile_4_4a!$D:$D,CCPA_DataFile_4_4a!$G:$G),2,0)</f>
        <v>0</v>
      </c>
      <c r="L50" s="34">
        <f>VLOOKUP($B50,QualitativeNotes!B:C,2,FALSE)</f>
        <v>0</v>
      </c>
    </row>
    <row r="51" spans="1:12" ht="151.5" customHeight="1" x14ac:dyDescent="0.25">
      <c r="A51" s="85">
        <v>45291</v>
      </c>
      <c r="B51" s="86" t="s">
        <v>95</v>
      </c>
      <c r="C51" s="87" t="s">
        <v>77</v>
      </c>
      <c r="D51" s="87" t="s">
        <v>96</v>
      </c>
      <c r="E51" s="87" t="s">
        <v>19</v>
      </c>
      <c r="F51" s="88" t="s">
        <v>525</v>
      </c>
      <c r="G51" s="88" t="s">
        <v>587</v>
      </c>
      <c r="H51" s="88" t="s">
        <v>560</v>
      </c>
      <c r="I51" s="89" t="s">
        <v>18</v>
      </c>
      <c r="J51" s="93" t="s">
        <v>528</v>
      </c>
      <c r="K51" s="30" cm="1">
        <f t="array" ref="K51">VLOOKUP(A51&amp;J51,CHOOSE({1,2},CCPA_DataFile_4_4a!$A:$A&amp;CCPA_DataFile_4_4a!$D:$D,CCPA_DataFile_4_4a!$H:$H),2,0)</f>
        <v>10491279.978333334</v>
      </c>
      <c r="L51" s="34">
        <f>VLOOKUP($B51,QualitativeNotes!B:C,2,FALSE)</f>
        <v>0</v>
      </c>
    </row>
    <row r="52" spans="1:12" ht="151.5" customHeight="1" x14ac:dyDescent="0.25">
      <c r="A52" s="85">
        <v>45291</v>
      </c>
      <c r="B52" s="86" t="s">
        <v>95</v>
      </c>
      <c r="C52" s="87" t="s">
        <v>77</v>
      </c>
      <c r="D52" s="87" t="s">
        <v>96</v>
      </c>
      <c r="E52" s="87" t="s">
        <v>19</v>
      </c>
      <c r="F52" s="88" t="s">
        <v>525</v>
      </c>
      <c r="G52" s="88" t="s">
        <v>587</v>
      </c>
      <c r="H52" s="88" t="s">
        <v>560</v>
      </c>
      <c r="I52" s="89" t="s">
        <v>18</v>
      </c>
      <c r="J52" s="93" t="s">
        <v>561</v>
      </c>
      <c r="K52" s="30" cm="1">
        <f t="array" ref="K52">VLOOKUP(A52&amp;J52,CHOOSE({1,2},CCPA_DataFile_4_4a!$A:$A&amp;CCPA_DataFile_4_4a!$D:$D,CCPA_DataFile_4_4a!$H:$H),2,0)</f>
        <v>17524424.640000001</v>
      </c>
      <c r="L52" s="34">
        <f>VLOOKUP($B52,QualitativeNotes!B:C,2,FALSE)</f>
        <v>0</v>
      </c>
    </row>
    <row r="53" spans="1:12" ht="90" customHeight="1" x14ac:dyDescent="0.25">
      <c r="A53" s="85">
        <v>45291</v>
      </c>
      <c r="B53" s="86" t="s">
        <v>97</v>
      </c>
      <c r="C53" s="87" t="s">
        <v>77</v>
      </c>
      <c r="D53" s="87" t="s">
        <v>98</v>
      </c>
      <c r="E53" s="87" t="s">
        <v>88</v>
      </c>
      <c r="F53" s="88" t="s">
        <v>525</v>
      </c>
      <c r="G53" s="88" t="s">
        <v>587</v>
      </c>
      <c r="H53" s="88" t="s">
        <v>560</v>
      </c>
      <c r="I53" s="89" t="s">
        <v>18</v>
      </c>
      <c r="J53" s="93"/>
      <c r="K53" s="31">
        <f>VLOOKUP(A53,CCPA_AggregateDataFile!$A:$DU,19,0)</f>
        <v>0</v>
      </c>
      <c r="L53" s="34">
        <f>VLOOKUP($B53,QualitativeNotes!B:C,2,FALSE)</f>
        <v>0</v>
      </c>
    </row>
    <row r="54" spans="1:12" ht="30" x14ac:dyDescent="0.25">
      <c r="A54" s="85">
        <v>45291</v>
      </c>
      <c r="B54" s="86" t="s">
        <v>99</v>
      </c>
      <c r="C54" s="87" t="s">
        <v>77</v>
      </c>
      <c r="D54" s="87" t="s">
        <v>100</v>
      </c>
      <c r="E54" s="87" t="s">
        <v>19</v>
      </c>
      <c r="F54" s="88" t="s">
        <v>525</v>
      </c>
      <c r="G54" s="88" t="s">
        <v>587</v>
      </c>
      <c r="H54" s="88" t="s">
        <v>560</v>
      </c>
      <c r="I54" s="89" t="s">
        <v>18</v>
      </c>
      <c r="J54" s="93"/>
      <c r="K54" s="30">
        <f>VLOOKUP(A54,CCPA_DataFile_4_4b!$A:$G,7,0)</f>
        <v>0</v>
      </c>
      <c r="L54" s="34">
        <f>VLOOKUP($B54,QualitativeNotes!B:C,2,FALSE)</f>
        <v>0</v>
      </c>
    </row>
    <row r="55" spans="1:12" ht="90" x14ac:dyDescent="0.25">
      <c r="A55" s="85">
        <v>45291</v>
      </c>
      <c r="B55" s="86" t="s">
        <v>102</v>
      </c>
      <c r="C55" s="87" t="s">
        <v>77</v>
      </c>
      <c r="D55" s="87" t="s">
        <v>529</v>
      </c>
      <c r="E55" s="87" t="s">
        <v>19</v>
      </c>
      <c r="F55" s="88" t="s">
        <v>525</v>
      </c>
      <c r="G55" s="88" t="s">
        <v>587</v>
      </c>
      <c r="H55" s="88" t="s">
        <v>560</v>
      </c>
      <c r="I55" s="89" t="s">
        <v>18</v>
      </c>
      <c r="J55" s="93" t="s">
        <v>528</v>
      </c>
      <c r="K55" s="30" cm="1">
        <f t="array" ref="K55">VLOOKUP(A55&amp;J55,CHOOSE({1,2},CCPA_DataFile_4_4a!$A:$A&amp;CCPA_DataFile_4_4a!$D:$D,CCPA_DataFile_4_4a!$I:$I),2,0)</f>
        <v>0</v>
      </c>
      <c r="L55" s="34">
        <f>VLOOKUP($B55,QualitativeNotes!B:C,2,FALSE)</f>
        <v>0</v>
      </c>
    </row>
    <row r="56" spans="1:12" ht="120" x14ac:dyDescent="0.25">
      <c r="A56" s="85">
        <v>45291</v>
      </c>
      <c r="B56" s="86" t="s">
        <v>102</v>
      </c>
      <c r="C56" s="87" t="s">
        <v>77</v>
      </c>
      <c r="D56" s="87" t="s">
        <v>103</v>
      </c>
      <c r="E56" s="87" t="s">
        <v>19</v>
      </c>
      <c r="F56" s="88" t="s">
        <v>525</v>
      </c>
      <c r="G56" s="88" t="s">
        <v>587</v>
      </c>
      <c r="H56" s="88" t="s">
        <v>560</v>
      </c>
      <c r="I56" s="89" t="s">
        <v>18</v>
      </c>
      <c r="J56" s="93" t="s">
        <v>561</v>
      </c>
      <c r="K56" s="30" cm="1">
        <f t="array" ref="K56">VLOOKUP(A56&amp;J56,CHOOSE({1,2},CCPA_DataFile_4_4a!$A:$A&amp;CCPA_DataFile_4_4a!$D:$D,CCPA_DataFile_4_4a!$I:$I),2,0)</f>
        <v>0</v>
      </c>
      <c r="L56" s="34">
        <f>VLOOKUP($B56,QualitativeNotes!B:C,2,FALSE)</f>
        <v>0</v>
      </c>
    </row>
    <row r="57" spans="1:12" ht="83.25" customHeight="1" x14ac:dyDescent="0.25">
      <c r="A57" s="85">
        <v>45291</v>
      </c>
      <c r="B57" s="86" t="s">
        <v>105</v>
      </c>
      <c r="C57" s="87" t="s">
        <v>104</v>
      </c>
      <c r="D57" s="87" t="s">
        <v>106</v>
      </c>
      <c r="E57" s="87" t="s">
        <v>4</v>
      </c>
      <c r="F57" s="88" t="s">
        <v>530</v>
      </c>
      <c r="G57" s="88" t="s">
        <v>587</v>
      </c>
      <c r="H57" s="88" t="s">
        <v>560</v>
      </c>
      <c r="I57" s="89" t="s">
        <v>18</v>
      </c>
      <c r="J57" s="93"/>
      <c r="K57" s="17" t="str">
        <f>VLOOKUP(A57,CCPA_AggregateDataFile!$A:$DU,20,0)</f>
        <v>https://www.ccpa.at/en/risk-management-securities-clearing/collaterals-collateral-policy/</v>
      </c>
      <c r="L57" s="34">
        <f>VLOOKUP($B57,QualitativeNotes!B:C,2,FALSE)</f>
        <v>0</v>
      </c>
    </row>
    <row r="58" spans="1:12" ht="77.25" customHeight="1" x14ac:dyDescent="0.25">
      <c r="A58" s="85">
        <v>45291</v>
      </c>
      <c r="B58" s="86" t="s">
        <v>109</v>
      </c>
      <c r="C58" s="87" t="s">
        <v>108</v>
      </c>
      <c r="D58" s="87" t="s">
        <v>108</v>
      </c>
      <c r="E58" s="87" t="s">
        <v>4</v>
      </c>
      <c r="F58" s="88" t="s">
        <v>530</v>
      </c>
      <c r="G58" s="88" t="s">
        <v>587</v>
      </c>
      <c r="H58" s="88" t="s">
        <v>560</v>
      </c>
      <c r="I58" s="89" t="s">
        <v>18</v>
      </c>
      <c r="J58" s="93"/>
      <c r="K58" s="17" t="str">
        <f>VLOOKUP(A58,CCPA_AggregateDataFile!$A:$DU,21,0)</f>
        <v>https://www.ccpa.at/en/risk-management-securities-clearing/collaterals-collateral-policy/</v>
      </c>
      <c r="L58" s="34">
        <f>VLOOKUP($B58,QualitativeNotes!B:C,2,FALSE)</f>
        <v>0</v>
      </c>
    </row>
    <row r="59" spans="1:12" ht="30" x14ac:dyDescent="0.25">
      <c r="A59" s="85">
        <v>45291</v>
      </c>
      <c r="B59" s="86" t="s">
        <v>111</v>
      </c>
      <c r="C59" s="87" t="s">
        <v>110</v>
      </c>
      <c r="D59" s="87" t="s">
        <v>112</v>
      </c>
      <c r="E59" s="87" t="s">
        <v>113</v>
      </c>
      <c r="F59" s="88" t="s">
        <v>530</v>
      </c>
      <c r="G59" s="88" t="s">
        <v>587</v>
      </c>
      <c r="H59" s="88" t="s">
        <v>560</v>
      </c>
      <c r="I59" s="89" t="s">
        <v>18</v>
      </c>
      <c r="J59" s="93"/>
      <c r="K59" s="33">
        <f>VLOOKUP(A59,CCPA_AggregateDataFile!$A:$DU,22,0)</f>
        <v>0.99</v>
      </c>
      <c r="L59" s="34">
        <f>VLOOKUP($B59,QualitativeNotes!B:C,2,FALSE)</f>
        <v>0</v>
      </c>
    </row>
    <row r="60" spans="1:12" x14ac:dyDescent="0.25">
      <c r="A60" s="85">
        <v>45291</v>
      </c>
      <c r="B60" s="86" t="s">
        <v>114</v>
      </c>
      <c r="C60" s="87" t="s">
        <v>110</v>
      </c>
      <c r="D60" s="87" t="s">
        <v>115</v>
      </c>
      <c r="E60" s="87" t="s">
        <v>4</v>
      </c>
      <c r="F60" s="88" t="s">
        <v>530</v>
      </c>
      <c r="G60" s="88" t="s">
        <v>587</v>
      </c>
      <c r="H60" s="88" t="s">
        <v>560</v>
      </c>
      <c r="I60" s="89" t="s">
        <v>18</v>
      </c>
      <c r="J60" s="93"/>
      <c r="K60" s="17" t="str">
        <f>VLOOKUP(A60,CCPA_AggregateDataFile!$A:$DU,23,0)</f>
        <v>3 days</v>
      </c>
      <c r="L60" s="34">
        <f>VLOOKUP($B60,QualitativeNotes!B:C,2,FALSE)</f>
        <v>0</v>
      </c>
    </row>
    <row r="61" spans="1:12" x14ac:dyDescent="0.25">
      <c r="A61" s="85">
        <v>45291</v>
      </c>
      <c r="B61" s="86" t="s">
        <v>116</v>
      </c>
      <c r="C61" s="87" t="s">
        <v>110</v>
      </c>
      <c r="D61" s="87" t="s">
        <v>531</v>
      </c>
      <c r="E61" s="87" t="s">
        <v>88</v>
      </c>
      <c r="F61" s="88" t="s">
        <v>530</v>
      </c>
      <c r="G61" s="88" t="s">
        <v>587</v>
      </c>
      <c r="H61" s="88" t="s">
        <v>560</v>
      </c>
      <c r="I61" s="89" t="s">
        <v>18</v>
      </c>
      <c r="J61" s="93" t="s">
        <v>532</v>
      </c>
      <c r="K61" s="31" t="str">
        <f>VLOOKUP(A61,CCPA_AggregateDataFile!$A:$DU,24,0)</f>
        <v>600 days/1 year</v>
      </c>
      <c r="L61" s="34">
        <f>VLOOKUP($B61,QualitativeNotes!B:C,2,FALSE)</f>
        <v>0</v>
      </c>
    </row>
    <row r="62" spans="1:12" ht="58.5" customHeight="1" x14ac:dyDescent="0.25">
      <c r="A62" s="85">
        <v>45291</v>
      </c>
      <c r="B62" s="86" t="s">
        <v>118</v>
      </c>
      <c r="C62" s="87" t="s">
        <v>110</v>
      </c>
      <c r="D62" s="87" t="s">
        <v>119</v>
      </c>
      <c r="E62" s="87" t="s">
        <v>88</v>
      </c>
      <c r="F62" s="88" t="s">
        <v>530</v>
      </c>
      <c r="G62" s="88" t="s">
        <v>587</v>
      </c>
      <c r="H62" s="88" t="s">
        <v>560</v>
      </c>
      <c r="I62" s="89" t="s">
        <v>18</v>
      </c>
      <c r="J62" s="93"/>
      <c r="K62" s="31">
        <f>VLOOKUP(A62,CCPA_AggregateDataFile!$A:$DU,25,0)</f>
        <v>0</v>
      </c>
      <c r="L62" s="34">
        <f>VLOOKUP($B62,QualitativeNotes!B:C,2,FALSE)</f>
        <v>0</v>
      </c>
    </row>
    <row r="63" spans="1:12" ht="60" x14ac:dyDescent="0.25">
      <c r="A63" s="85">
        <v>45291</v>
      </c>
      <c r="B63" s="86" t="s">
        <v>122</v>
      </c>
      <c r="C63" s="87" t="s">
        <v>121</v>
      </c>
      <c r="D63" s="87" t="s">
        <v>123</v>
      </c>
      <c r="E63" s="87" t="s">
        <v>19</v>
      </c>
      <c r="F63" s="88" t="s">
        <v>525</v>
      </c>
      <c r="G63" s="88" t="s">
        <v>587</v>
      </c>
      <c r="H63" s="88" t="s">
        <v>560</v>
      </c>
      <c r="I63" s="89" t="s">
        <v>18</v>
      </c>
      <c r="J63" s="93" t="s">
        <v>533</v>
      </c>
      <c r="K63" s="30" cm="1">
        <f t="array" ref="K63">VLOOKUP(A63&amp;J63,CHOOSE({1,2},CCPA_DataFile_6_1!$A:$A&amp;CCPA_DataFile_6_1!$D:$D,CCPA_DataFile_6_1!$F:$F),2,0)</f>
        <v>12326793.42</v>
      </c>
      <c r="L63" s="34">
        <f>VLOOKUP($B63,QualitativeNotes!B:C,2,FALSE)</f>
        <v>0</v>
      </c>
    </row>
    <row r="64" spans="1:12" ht="60" x14ac:dyDescent="0.25">
      <c r="A64" s="85">
        <v>45291</v>
      </c>
      <c r="B64" s="86" t="s">
        <v>122</v>
      </c>
      <c r="C64" s="87" t="s">
        <v>121</v>
      </c>
      <c r="D64" s="87" t="s">
        <v>123</v>
      </c>
      <c r="E64" s="87" t="s">
        <v>19</v>
      </c>
      <c r="F64" s="88" t="s">
        <v>525</v>
      </c>
      <c r="G64" s="88" t="s">
        <v>587</v>
      </c>
      <c r="H64" s="88" t="s">
        <v>560</v>
      </c>
      <c r="I64" s="89" t="s">
        <v>18</v>
      </c>
      <c r="J64" s="93" t="s">
        <v>534</v>
      </c>
      <c r="K64" s="30" cm="1">
        <f t="array" ref="K64">VLOOKUP(A64&amp;J64,CHOOSE({1,2},CCPA_DataFile_6_1!$A:$A&amp;CCPA_DataFile_6_1!$D:$D,CCPA_DataFile_6_1!$F:$F),2,0)</f>
        <v>20952364.460000001</v>
      </c>
      <c r="L64" s="34">
        <f>VLOOKUP($B64,QualitativeNotes!B:C,2,FALSE)</f>
        <v>0</v>
      </c>
    </row>
    <row r="65" spans="1:12" ht="60" x14ac:dyDescent="0.25">
      <c r="A65" s="85">
        <v>45291</v>
      </c>
      <c r="B65" s="86" t="s">
        <v>122</v>
      </c>
      <c r="C65" s="87" t="s">
        <v>121</v>
      </c>
      <c r="D65" s="87" t="s">
        <v>123</v>
      </c>
      <c r="E65" s="87" t="s">
        <v>19</v>
      </c>
      <c r="F65" s="88" t="s">
        <v>525</v>
      </c>
      <c r="G65" s="88" t="s">
        <v>587</v>
      </c>
      <c r="H65" s="88" t="s">
        <v>560</v>
      </c>
      <c r="I65" s="89" t="s">
        <v>18</v>
      </c>
      <c r="J65" s="93" t="s">
        <v>535</v>
      </c>
      <c r="K65" s="30" cm="1">
        <f t="array" ref="K65">VLOOKUP(A65&amp;J65,CHOOSE({1,2},CCPA_DataFile_6_1!$A:$A&amp;CCPA_DataFile_6_1!$D:$D,CCPA_DataFile_6_1!$F:$F),2,0)</f>
        <v>4809368.84</v>
      </c>
      <c r="L65" s="34">
        <f>VLOOKUP($B65,QualitativeNotes!B:C,2,FALSE)</f>
        <v>0</v>
      </c>
    </row>
    <row r="66" spans="1:12" ht="60" x14ac:dyDescent="0.25">
      <c r="A66" s="85">
        <v>45291</v>
      </c>
      <c r="B66" s="86" t="s">
        <v>122</v>
      </c>
      <c r="C66" s="87" t="s">
        <v>121</v>
      </c>
      <c r="D66" s="87" t="s">
        <v>123</v>
      </c>
      <c r="E66" s="87" t="s">
        <v>19</v>
      </c>
      <c r="F66" s="88" t="s">
        <v>525</v>
      </c>
      <c r="G66" s="88" t="s">
        <v>587</v>
      </c>
      <c r="H66" s="88" t="s">
        <v>560</v>
      </c>
      <c r="I66" s="89" t="s">
        <v>18</v>
      </c>
      <c r="J66" s="93" t="s">
        <v>536</v>
      </c>
      <c r="K66" s="30" cm="1">
        <f t="array" ref="K66">VLOOKUP(A66&amp;J66,CHOOSE({1,2},CCPA_DataFile_6_1!$A:$A&amp;CCPA_DataFile_6_1!$D:$D,CCPA_DataFile_6_1!$F:$F),2,0)</f>
        <v>38088526.719999999</v>
      </c>
      <c r="L66" s="34">
        <f>VLOOKUP($B66,QualitativeNotes!B:C,2,FALSE)</f>
        <v>0</v>
      </c>
    </row>
    <row r="67" spans="1:12" ht="45" x14ac:dyDescent="0.25">
      <c r="A67" s="85">
        <v>45291</v>
      </c>
      <c r="B67" s="86" t="s">
        <v>127</v>
      </c>
      <c r="C67" s="87" t="s">
        <v>126</v>
      </c>
      <c r="D67" s="87" t="s">
        <v>128</v>
      </c>
      <c r="E67" s="87" t="s">
        <v>19</v>
      </c>
      <c r="F67" s="88" t="s">
        <v>525</v>
      </c>
      <c r="G67" s="88" t="s">
        <v>587</v>
      </c>
      <c r="H67" s="88" t="s">
        <v>560</v>
      </c>
      <c r="I67" s="89" t="s">
        <v>18</v>
      </c>
      <c r="J67" s="93" t="s">
        <v>537</v>
      </c>
      <c r="K67" s="30" t="s">
        <v>289</v>
      </c>
      <c r="L67" s="34">
        <f>VLOOKUP($B67,QualitativeNotes!B:C,2,FALSE)</f>
        <v>0</v>
      </c>
    </row>
    <row r="68" spans="1:12" ht="45" x14ac:dyDescent="0.25">
      <c r="A68" s="85">
        <v>45291</v>
      </c>
      <c r="B68" s="86" t="s">
        <v>127</v>
      </c>
      <c r="C68" s="87" t="s">
        <v>126</v>
      </c>
      <c r="D68" s="87" t="s">
        <v>128</v>
      </c>
      <c r="E68" s="87" t="s">
        <v>19</v>
      </c>
      <c r="F68" s="88" t="s">
        <v>525</v>
      </c>
      <c r="G68" s="88" t="s">
        <v>587</v>
      </c>
      <c r="H68" s="88" t="s">
        <v>560</v>
      </c>
      <c r="I68" s="89" t="s">
        <v>18</v>
      </c>
      <c r="J68" s="93" t="s">
        <v>538</v>
      </c>
      <c r="K68" s="30" t="s">
        <v>289</v>
      </c>
      <c r="L68" s="34">
        <f>VLOOKUP($B68,QualitativeNotes!B:C,2,FALSE)</f>
        <v>0</v>
      </c>
    </row>
    <row r="69" spans="1:12" ht="45" x14ac:dyDescent="0.25">
      <c r="A69" s="85">
        <v>45291</v>
      </c>
      <c r="B69" s="86" t="s">
        <v>127</v>
      </c>
      <c r="C69" s="87" t="s">
        <v>126</v>
      </c>
      <c r="D69" s="87" t="s">
        <v>128</v>
      </c>
      <c r="E69" s="87" t="s">
        <v>19</v>
      </c>
      <c r="F69" s="88" t="s">
        <v>525</v>
      </c>
      <c r="G69" s="88" t="s">
        <v>587</v>
      </c>
      <c r="H69" s="88" t="s">
        <v>560</v>
      </c>
      <c r="I69" s="89" t="s">
        <v>18</v>
      </c>
      <c r="J69" s="93" t="s">
        <v>539</v>
      </c>
      <c r="K69" s="30" t="s">
        <v>289</v>
      </c>
      <c r="L69" s="34">
        <f>VLOOKUP($B69,QualitativeNotes!B:C,2,FALSE)</f>
        <v>0</v>
      </c>
    </row>
    <row r="70" spans="1:12" ht="45" x14ac:dyDescent="0.25">
      <c r="A70" s="85">
        <v>45291</v>
      </c>
      <c r="B70" s="86" t="s">
        <v>127</v>
      </c>
      <c r="C70" s="87" t="s">
        <v>126</v>
      </c>
      <c r="D70" s="87" t="s">
        <v>128</v>
      </c>
      <c r="E70" s="87" t="s">
        <v>19</v>
      </c>
      <c r="F70" s="88" t="s">
        <v>525</v>
      </c>
      <c r="G70" s="88" t="s">
        <v>587</v>
      </c>
      <c r="H70" s="88" t="s">
        <v>560</v>
      </c>
      <c r="I70" s="89" t="s">
        <v>18</v>
      </c>
      <c r="J70" s="93" t="s">
        <v>540</v>
      </c>
      <c r="K70" s="30" t="s">
        <v>289</v>
      </c>
      <c r="L70" s="34">
        <f>VLOOKUP($B70,QualitativeNotes!B:C,2,FALSE)</f>
        <v>0</v>
      </c>
    </row>
    <row r="71" spans="1:12" ht="45" x14ac:dyDescent="0.25">
      <c r="A71" s="85">
        <v>45291</v>
      </c>
      <c r="B71" s="86" t="s">
        <v>127</v>
      </c>
      <c r="C71" s="87" t="s">
        <v>126</v>
      </c>
      <c r="D71" s="87" t="s">
        <v>128</v>
      </c>
      <c r="E71" s="87" t="s">
        <v>19</v>
      </c>
      <c r="F71" s="88" t="s">
        <v>525</v>
      </c>
      <c r="G71" s="88" t="s">
        <v>587</v>
      </c>
      <c r="H71" s="88" t="s">
        <v>560</v>
      </c>
      <c r="I71" s="89" t="s">
        <v>18</v>
      </c>
      <c r="J71" s="93" t="s">
        <v>541</v>
      </c>
      <c r="K71" s="30" cm="1">
        <f t="array" ref="K71">VLOOKUP(A71&amp;J71,CHOOSE({1,2},CCPA_DataFile_6_2!$A:$A&amp;CCPA_DataFile_6_2!$D:$D,CCPA_DataFile_6_2!$F:$F),2,0)</f>
        <v>0</v>
      </c>
      <c r="L71" s="34">
        <f>VLOOKUP($B71,QualitativeNotes!B:C,2,FALSE)</f>
        <v>0</v>
      </c>
    </row>
    <row r="72" spans="1:12" ht="45" x14ac:dyDescent="0.25">
      <c r="A72" s="85">
        <v>45291</v>
      </c>
      <c r="B72" s="86" t="s">
        <v>127</v>
      </c>
      <c r="C72" s="87" t="s">
        <v>126</v>
      </c>
      <c r="D72" s="87" t="s">
        <v>128</v>
      </c>
      <c r="E72" s="87" t="s">
        <v>19</v>
      </c>
      <c r="F72" s="88" t="s">
        <v>525</v>
      </c>
      <c r="G72" s="88" t="s">
        <v>587</v>
      </c>
      <c r="H72" s="88" t="s">
        <v>560</v>
      </c>
      <c r="I72" s="89" t="s">
        <v>18</v>
      </c>
      <c r="J72" s="93" t="s">
        <v>542</v>
      </c>
      <c r="K72" s="30" cm="1">
        <f t="array" ref="K72">VLOOKUP(A72&amp;J72,CHOOSE({1,2},CCPA_DataFile_6_2!$A:$A&amp;CCPA_DataFile_6_2!$D:$D,CCPA_DataFile_6_2!$F:$F),2,0)</f>
        <v>0</v>
      </c>
      <c r="L72" s="34">
        <f>VLOOKUP($B72,QualitativeNotes!B:C,2,FALSE)</f>
        <v>0</v>
      </c>
    </row>
    <row r="73" spans="1:12" ht="48" customHeight="1" x14ac:dyDescent="0.25">
      <c r="A73" s="85">
        <v>45291</v>
      </c>
      <c r="B73" s="86" t="s">
        <v>131</v>
      </c>
      <c r="C73" s="87" t="s">
        <v>126</v>
      </c>
      <c r="D73" s="87" t="s">
        <v>132</v>
      </c>
      <c r="E73" s="87" t="s">
        <v>19</v>
      </c>
      <c r="F73" s="88" t="s">
        <v>525</v>
      </c>
      <c r="G73" s="88" t="s">
        <v>587</v>
      </c>
      <c r="H73" s="88" t="s">
        <v>560</v>
      </c>
      <c r="I73" s="89" t="s">
        <v>18</v>
      </c>
      <c r="J73" s="93" t="s">
        <v>537</v>
      </c>
      <c r="K73" s="30" t="s">
        <v>289</v>
      </c>
      <c r="L73" s="34">
        <f>VLOOKUP($B73,QualitativeNotes!B:C,2,FALSE)</f>
        <v>0</v>
      </c>
    </row>
    <row r="74" spans="1:12" ht="48" customHeight="1" x14ac:dyDescent="0.25">
      <c r="A74" s="85">
        <v>45291</v>
      </c>
      <c r="B74" s="86" t="s">
        <v>131</v>
      </c>
      <c r="C74" s="87" t="s">
        <v>126</v>
      </c>
      <c r="D74" s="87" t="s">
        <v>132</v>
      </c>
      <c r="E74" s="87" t="s">
        <v>19</v>
      </c>
      <c r="F74" s="88" t="s">
        <v>525</v>
      </c>
      <c r="G74" s="88" t="s">
        <v>587</v>
      </c>
      <c r="H74" s="88" t="s">
        <v>560</v>
      </c>
      <c r="I74" s="89" t="s">
        <v>18</v>
      </c>
      <c r="J74" s="93" t="s">
        <v>538</v>
      </c>
      <c r="K74" s="30" t="s">
        <v>289</v>
      </c>
      <c r="L74" s="34">
        <f>VLOOKUP($B74,QualitativeNotes!B:C,2,FALSE)</f>
        <v>0</v>
      </c>
    </row>
    <row r="75" spans="1:12" ht="48" customHeight="1" x14ac:dyDescent="0.25">
      <c r="A75" s="85">
        <v>45291</v>
      </c>
      <c r="B75" s="86" t="s">
        <v>131</v>
      </c>
      <c r="C75" s="87" t="s">
        <v>126</v>
      </c>
      <c r="D75" s="87" t="s">
        <v>132</v>
      </c>
      <c r="E75" s="87" t="s">
        <v>19</v>
      </c>
      <c r="F75" s="88" t="s">
        <v>525</v>
      </c>
      <c r="G75" s="88" t="s">
        <v>587</v>
      </c>
      <c r="H75" s="88" t="s">
        <v>560</v>
      </c>
      <c r="I75" s="89" t="s">
        <v>18</v>
      </c>
      <c r="J75" s="93" t="s">
        <v>539</v>
      </c>
      <c r="K75" s="30" t="s">
        <v>289</v>
      </c>
      <c r="L75" s="34">
        <f>VLOOKUP($B75,QualitativeNotes!B:C,2,FALSE)</f>
        <v>0</v>
      </c>
    </row>
    <row r="76" spans="1:12" ht="48" customHeight="1" x14ac:dyDescent="0.25">
      <c r="A76" s="85">
        <v>45291</v>
      </c>
      <c r="B76" s="86" t="s">
        <v>131</v>
      </c>
      <c r="C76" s="87" t="s">
        <v>126</v>
      </c>
      <c r="D76" s="87" t="s">
        <v>132</v>
      </c>
      <c r="E76" s="87" t="s">
        <v>19</v>
      </c>
      <c r="F76" s="88" t="s">
        <v>525</v>
      </c>
      <c r="G76" s="88" t="s">
        <v>587</v>
      </c>
      <c r="H76" s="88" t="s">
        <v>560</v>
      </c>
      <c r="I76" s="89" t="s">
        <v>18</v>
      </c>
      <c r="J76" s="93" t="s">
        <v>540</v>
      </c>
      <c r="K76" s="30" t="s">
        <v>289</v>
      </c>
      <c r="L76" s="34">
        <f>VLOOKUP($B76,QualitativeNotes!B:C,2,FALSE)</f>
        <v>0</v>
      </c>
    </row>
    <row r="77" spans="1:12" ht="48" customHeight="1" x14ac:dyDescent="0.25">
      <c r="A77" s="85">
        <v>45291</v>
      </c>
      <c r="B77" s="86" t="s">
        <v>131</v>
      </c>
      <c r="C77" s="87" t="s">
        <v>126</v>
      </c>
      <c r="D77" s="87" t="s">
        <v>132</v>
      </c>
      <c r="E77" s="87" t="s">
        <v>19</v>
      </c>
      <c r="F77" s="88" t="s">
        <v>525</v>
      </c>
      <c r="G77" s="88" t="s">
        <v>587</v>
      </c>
      <c r="H77" s="88" t="s">
        <v>560</v>
      </c>
      <c r="I77" s="89" t="s">
        <v>18</v>
      </c>
      <c r="J77" s="93" t="s">
        <v>541</v>
      </c>
      <c r="K77" s="30" cm="1">
        <f t="array" ref="K77">VLOOKUP(A77&amp;J77,CHOOSE({1,2},CCPA_DataFile_6_2!$A:$A&amp;CCPA_DataFile_6_2!$D:$D,CCPA_DataFile_6_2!$G:$G),2,0)</f>
        <v>0</v>
      </c>
      <c r="L77" s="34">
        <f>VLOOKUP($B77,QualitativeNotes!B:C,2,FALSE)</f>
        <v>0</v>
      </c>
    </row>
    <row r="78" spans="1:12" ht="48" customHeight="1" x14ac:dyDescent="0.25">
      <c r="A78" s="85">
        <v>45291</v>
      </c>
      <c r="B78" s="86" t="s">
        <v>131</v>
      </c>
      <c r="C78" s="87" t="s">
        <v>126</v>
      </c>
      <c r="D78" s="87" t="s">
        <v>132</v>
      </c>
      <c r="E78" s="87" t="s">
        <v>19</v>
      </c>
      <c r="F78" s="88" t="s">
        <v>525</v>
      </c>
      <c r="G78" s="88" t="s">
        <v>587</v>
      </c>
      <c r="H78" s="88" t="s">
        <v>560</v>
      </c>
      <c r="I78" s="89" t="s">
        <v>18</v>
      </c>
      <c r="J78" s="93" t="s">
        <v>542</v>
      </c>
      <c r="K78" s="30" cm="1">
        <f t="array" ref="K78">VLOOKUP(A78&amp;J78,CHOOSE({1,2},CCPA_DataFile_6_2!$A:$A&amp;CCPA_DataFile_6_2!$D:$D,CCPA_DataFile_6_2!$G:$G),2,0)</f>
        <v>0</v>
      </c>
      <c r="L78" s="34">
        <f>VLOOKUP($B78,QualitativeNotes!B:C,2,FALSE)</f>
        <v>0</v>
      </c>
    </row>
    <row r="79" spans="1:12" ht="60" x14ac:dyDescent="0.25">
      <c r="A79" s="85">
        <v>45291</v>
      </c>
      <c r="B79" s="86" t="s">
        <v>133</v>
      </c>
      <c r="C79" s="87" t="s">
        <v>126</v>
      </c>
      <c r="D79" s="87" t="s">
        <v>134</v>
      </c>
      <c r="E79" s="87" t="s">
        <v>19</v>
      </c>
      <c r="F79" s="88" t="s">
        <v>525</v>
      </c>
      <c r="G79" s="88" t="s">
        <v>587</v>
      </c>
      <c r="H79" s="88" t="s">
        <v>560</v>
      </c>
      <c r="I79" s="89" t="s">
        <v>18</v>
      </c>
      <c r="J79" s="93" t="s">
        <v>537</v>
      </c>
      <c r="K79" s="30" t="s">
        <v>289</v>
      </c>
      <c r="L79" s="34">
        <f>VLOOKUP($B79,QualitativeNotes!B:C,2,FALSE)</f>
        <v>0</v>
      </c>
    </row>
    <row r="80" spans="1:12" ht="60" x14ac:dyDescent="0.25">
      <c r="A80" s="85">
        <v>45291</v>
      </c>
      <c r="B80" s="86" t="s">
        <v>133</v>
      </c>
      <c r="C80" s="87" t="s">
        <v>126</v>
      </c>
      <c r="D80" s="87" t="s">
        <v>134</v>
      </c>
      <c r="E80" s="87" t="s">
        <v>19</v>
      </c>
      <c r="F80" s="88" t="s">
        <v>525</v>
      </c>
      <c r="G80" s="88" t="s">
        <v>587</v>
      </c>
      <c r="H80" s="88" t="s">
        <v>560</v>
      </c>
      <c r="I80" s="89" t="s">
        <v>18</v>
      </c>
      <c r="J80" s="93" t="s">
        <v>538</v>
      </c>
      <c r="K80" s="30" t="s">
        <v>289</v>
      </c>
      <c r="L80" s="34">
        <f>VLOOKUP($B80,QualitativeNotes!B:C,2,FALSE)</f>
        <v>0</v>
      </c>
    </row>
    <row r="81" spans="1:12" ht="60" x14ac:dyDescent="0.25">
      <c r="A81" s="85">
        <v>45291</v>
      </c>
      <c r="B81" s="86" t="s">
        <v>133</v>
      </c>
      <c r="C81" s="87" t="s">
        <v>126</v>
      </c>
      <c r="D81" s="87" t="s">
        <v>134</v>
      </c>
      <c r="E81" s="87" t="s">
        <v>19</v>
      </c>
      <c r="F81" s="88" t="s">
        <v>525</v>
      </c>
      <c r="G81" s="88" t="s">
        <v>587</v>
      </c>
      <c r="H81" s="88" t="s">
        <v>560</v>
      </c>
      <c r="I81" s="89" t="s">
        <v>18</v>
      </c>
      <c r="J81" s="93" t="s">
        <v>539</v>
      </c>
      <c r="K81" s="30" t="s">
        <v>289</v>
      </c>
      <c r="L81" s="34">
        <f>VLOOKUP($B81,QualitativeNotes!B:C,2,FALSE)</f>
        <v>0</v>
      </c>
    </row>
    <row r="82" spans="1:12" ht="60" x14ac:dyDescent="0.25">
      <c r="A82" s="85">
        <v>45291</v>
      </c>
      <c r="B82" s="86" t="s">
        <v>133</v>
      </c>
      <c r="C82" s="87" t="s">
        <v>126</v>
      </c>
      <c r="D82" s="87" t="s">
        <v>134</v>
      </c>
      <c r="E82" s="87" t="s">
        <v>19</v>
      </c>
      <c r="F82" s="88" t="s">
        <v>525</v>
      </c>
      <c r="G82" s="88" t="s">
        <v>587</v>
      </c>
      <c r="H82" s="88" t="s">
        <v>560</v>
      </c>
      <c r="I82" s="89" t="s">
        <v>18</v>
      </c>
      <c r="J82" s="93" t="s">
        <v>540</v>
      </c>
      <c r="K82" s="30" t="s">
        <v>289</v>
      </c>
      <c r="L82" s="34">
        <f>VLOOKUP($B82,QualitativeNotes!B:C,2,FALSE)</f>
        <v>0</v>
      </c>
    </row>
    <row r="83" spans="1:12" ht="60" x14ac:dyDescent="0.25">
      <c r="A83" s="85">
        <v>45291</v>
      </c>
      <c r="B83" s="86" t="s">
        <v>133</v>
      </c>
      <c r="C83" s="87" t="s">
        <v>126</v>
      </c>
      <c r="D83" s="87" t="s">
        <v>134</v>
      </c>
      <c r="E83" s="87" t="s">
        <v>19</v>
      </c>
      <c r="F83" s="88" t="s">
        <v>525</v>
      </c>
      <c r="G83" s="88" t="s">
        <v>587</v>
      </c>
      <c r="H83" s="88" t="s">
        <v>560</v>
      </c>
      <c r="I83" s="89" t="s">
        <v>18</v>
      </c>
      <c r="J83" s="93" t="s">
        <v>541</v>
      </c>
      <c r="K83" s="30" cm="1">
        <f t="array" ref="K83">VLOOKUP(A83&amp;J83,CHOOSE({1,2},CCPA_DataFile_6_2!$A:$A&amp;CCPA_DataFile_6_2!$D:$D,CCPA_DataFile_6_2!$H:$H),2,0)</f>
        <v>0</v>
      </c>
      <c r="L83" s="34">
        <f>VLOOKUP($B83,QualitativeNotes!B:C,2,FALSE)</f>
        <v>0</v>
      </c>
    </row>
    <row r="84" spans="1:12" ht="60" x14ac:dyDescent="0.25">
      <c r="A84" s="85">
        <v>45291</v>
      </c>
      <c r="B84" s="86" t="s">
        <v>133</v>
      </c>
      <c r="C84" s="87" t="s">
        <v>126</v>
      </c>
      <c r="D84" s="87" t="s">
        <v>134</v>
      </c>
      <c r="E84" s="87" t="s">
        <v>19</v>
      </c>
      <c r="F84" s="88" t="s">
        <v>525</v>
      </c>
      <c r="G84" s="88" t="s">
        <v>587</v>
      </c>
      <c r="H84" s="88" t="s">
        <v>560</v>
      </c>
      <c r="I84" s="89" t="s">
        <v>18</v>
      </c>
      <c r="J84" s="93" t="s">
        <v>542</v>
      </c>
      <c r="K84" s="30" cm="1">
        <f t="array" ref="K84">VLOOKUP(A84&amp;J84,CHOOSE({1,2},CCPA_DataFile_6_2!$A:$A&amp;CCPA_DataFile_6_2!$D:$D,CCPA_DataFile_6_2!$H:$H),2,0)</f>
        <v>0</v>
      </c>
      <c r="L84" s="34">
        <f>VLOOKUP($B84,QualitativeNotes!B:C,2,FALSE)</f>
        <v>0</v>
      </c>
    </row>
    <row r="85" spans="1:12" s="92" customFormat="1" ht="46.5" customHeight="1" x14ac:dyDescent="0.25">
      <c r="A85" s="85">
        <v>45291</v>
      </c>
      <c r="B85" s="87" t="s">
        <v>135</v>
      </c>
      <c r="C85" s="87" t="s">
        <v>126</v>
      </c>
      <c r="D85" s="87" t="s">
        <v>136</v>
      </c>
      <c r="E85" s="87" t="s">
        <v>19</v>
      </c>
      <c r="F85" s="93" t="s">
        <v>525</v>
      </c>
      <c r="G85" s="93" t="s">
        <v>587</v>
      </c>
      <c r="H85" s="93" t="s">
        <v>560</v>
      </c>
      <c r="I85" s="94" t="s">
        <v>18</v>
      </c>
      <c r="J85" s="93" t="s">
        <v>537</v>
      </c>
      <c r="K85" s="30" t="s">
        <v>289</v>
      </c>
      <c r="L85" s="34">
        <f>VLOOKUP($B85,QualitativeNotes!B:C,2,FALSE)</f>
        <v>0</v>
      </c>
    </row>
    <row r="86" spans="1:12" s="92" customFormat="1" ht="46.5" customHeight="1" x14ac:dyDescent="0.25">
      <c r="A86" s="85">
        <v>45291</v>
      </c>
      <c r="B86" s="87" t="s">
        <v>135</v>
      </c>
      <c r="C86" s="87" t="s">
        <v>126</v>
      </c>
      <c r="D86" s="87" t="s">
        <v>136</v>
      </c>
      <c r="E86" s="87" t="s">
        <v>19</v>
      </c>
      <c r="F86" s="93" t="s">
        <v>525</v>
      </c>
      <c r="G86" s="93" t="s">
        <v>587</v>
      </c>
      <c r="H86" s="93" t="s">
        <v>560</v>
      </c>
      <c r="I86" s="94" t="s">
        <v>18</v>
      </c>
      <c r="J86" s="93" t="s">
        <v>538</v>
      </c>
      <c r="K86" s="30" t="s">
        <v>289</v>
      </c>
      <c r="L86" s="34">
        <f>VLOOKUP($B86,QualitativeNotes!B:C,2,FALSE)</f>
        <v>0</v>
      </c>
    </row>
    <row r="87" spans="1:12" s="92" customFormat="1" ht="46.5" customHeight="1" x14ac:dyDescent="0.25">
      <c r="A87" s="85">
        <v>45291</v>
      </c>
      <c r="B87" s="87" t="s">
        <v>135</v>
      </c>
      <c r="C87" s="87" t="s">
        <v>126</v>
      </c>
      <c r="D87" s="87" t="s">
        <v>136</v>
      </c>
      <c r="E87" s="87" t="s">
        <v>19</v>
      </c>
      <c r="F87" s="93" t="s">
        <v>525</v>
      </c>
      <c r="G87" s="93" t="s">
        <v>587</v>
      </c>
      <c r="H87" s="93" t="s">
        <v>560</v>
      </c>
      <c r="I87" s="94" t="s">
        <v>18</v>
      </c>
      <c r="J87" s="93" t="s">
        <v>539</v>
      </c>
      <c r="K87" s="30" t="s">
        <v>289</v>
      </c>
      <c r="L87" s="34">
        <f>VLOOKUP($B87,QualitativeNotes!B:C,2,FALSE)</f>
        <v>0</v>
      </c>
    </row>
    <row r="88" spans="1:12" ht="46.5" customHeight="1" x14ac:dyDescent="0.25">
      <c r="A88" s="85">
        <v>45291</v>
      </c>
      <c r="B88" s="86" t="s">
        <v>135</v>
      </c>
      <c r="C88" s="87" t="s">
        <v>126</v>
      </c>
      <c r="D88" s="87" t="s">
        <v>136</v>
      </c>
      <c r="E88" s="87" t="s">
        <v>19</v>
      </c>
      <c r="F88" s="88" t="s">
        <v>525</v>
      </c>
      <c r="G88" s="88" t="s">
        <v>587</v>
      </c>
      <c r="H88" s="88" t="s">
        <v>560</v>
      </c>
      <c r="I88" s="89" t="s">
        <v>18</v>
      </c>
      <c r="J88" s="93" t="s">
        <v>540</v>
      </c>
      <c r="K88" s="30" t="s">
        <v>289</v>
      </c>
      <c r="L88" s="34">
        <f>VLOOKUP($B88,QualitativeNotes!B:C,2,FALSE)</f>
        <v>0</v>
      </c>
    </row>
    <row r="89" spans="1:12" ht="46.5" customHeight="1" x14ac:dyDescent="0.25">
      <c r="A89" s="85">
        <v>45291</v>
      </c>
      <c r="B89" s="86" t="s">
        <v>135</v>
      </c>
      <c r="C89" s="87" t="s">
        <v>126</v>
      </c>
      <c r="D89" s="87" t="s">
        <v>136</v>
      </c>
      <c r="E89" s="87" t="s">
        <v>19</v>
      </c>
      <c r="F89" s="88" t="s">
        <v>525</v>
      </c>
      <c r="G89" s="88" t="s">
        <v>587</v>
      </c>
      <c r="H89" s="88" t="s">
        <v>560</v>
      </c>
      <c r="I89" s="89" t="s">
        <v>18</v>
      </c>
      <c r="J89" s="93" t="s">
        <v>541</v>
      </c>
      <c r="K89" s="30" cm="1">
        <f t="array" ref="K89">VLOOKUP(A89&amp;J89,CHOOSE({1,2},CCPA_DataFile_6_2!$A:$A&amp;CCPA_DataFile_6_2!$D:$D,CCPA_DataFile_6_2!$I:$I),2,0)</f>
        <v>105084797.16000001</v>
      </c>
      <c r="L89" s="34">
        <f>VLOOKUP($B89,QualitativeNotes!B:C,2,FALSE)</f>
        <v>0</v>
      </c>
    </row>
    <row r="90" spans="1:12" ht="46.5" customHeight="1" x14ac:dyDescent="0.25">
      <c r="A90" s="85">
        <v>45291</v>
      </c>
      <c r="B90" s="86" t="s">
        <v>135</v>
      </c>
      <c r="C90" s="87" t="s">
        <v>126</v>
      </c>
      <c r="D90" s="87" t="s">
        <v>136</v>
      </c>
      <c r="E90" s="87" t="s">
        <v>19</v>
      </c>
      <c r="F90" s="88" t="s">
        <v>525</v>
      </c>
      <c r="G90" s="88" t="s">
        <v>587</v>
      </c>
      <c r="H90" s="88" t="s">
        <v>560</v>
      </c>
      <c r="I90" s="89" t="s">
        <v>18</v>
      </c>
      <c r="J90" s="93" t="s">
        <v>542</v>
      </c>
      <c r="K90" s="30" cm="1">
        <f t="array" ref="K90">VLOOKUP(A90&amp;J90,CHOOSE({1,2},CCPA_DataFile_6_2!$A:$A&amp;CCPA_DataFile_6_2!$D:$D,CCPA_DataFile_6_2!$I:$I),2,0)</f>
        <v>105084797.16000001</v>
      </c>
      <c r="L90" s="34">
        <f>VLOOKUP($B90,QualitativeNotes!B:C,2,FALSE)</f>
        <v>0</v>
      </c>
    </row>
    <row r="91" spans="1:12" ht="46.5" customHeight="1" x14ac:dyDescent="0.25">
      <c r="A91" s="85">
        <v>45291</v>
      </c>
      <c r="B91" s="86" t="s">
        <v>137</v>
      </c>
      <c r="C91" s="87" t="s">
        <v>126</v>
      </c>
      <c r="D91" s="87" t="s">
        <v>138</v>
      </c>
      <c r="E91" s="87" t="s">
        <v>19</v>
      </c>
      <c r="F91" s="88" t="s">
        <v>525</v>
      </c>
      <c r="G91" s="88" t="s">
        <v>587</v>
      </c>
      <c r="H91" s="88" t="s">
        <v>560</v>
      </c>
      <c r="I91" s="89" t="s">
        <v>18</v>
      </c>
      <c r="J91" s="93" t="s">
        <v>537</v>
      </c>
      <c r="K91" s="30" t="s">
        <v>289</v>
      </c>
      <c r="L91" s="34">
        <f>VLOOKUP($B91,QualitativeNotes!B:C,2,FALSE)</f>
        <v>0</v>
      </c>
    </row>
    <row r="92" spans="1:12" ht="46.5" customHeight="1" x14ac:dyDescent="0.25">
      <c r="A92" s="85">
        <v>45291</v>
      </c>
      <c r="B92" s="86" t="s">
        <v>137</v>
      </c>
      <c r="C92" s="87" t="s">
        <v>126</v>
      </c>
      <c r="D92" s="87" t="s">
        <v>138</v>
      </c>
      <c r="E92" s="87" t="s">
        <v>19</v>
      </c>
      <c r="F92" s="88" t="s">
        <v>525</v>
      </c>
      <c r="G92" s="88" t="s">
        <v>587</v>
      </c>
      <c r="H92" s="88" t="s">
        <v>560</v>
      </c>
      <c r="I92" s="89" t="s">
        <v>18</v>
      </c>
      <c r="J92" s="93" t="s">
        <v>538</v>
      </c>
      <c r="K92" s="30" t="s">
        <v>289</v>
      </c>
      <c r="L92" s="34">
        <f>VLOOKUP($B92,QualitativeNotes!B:C,2,FALSE)</f>
        <v>0</v>
      </c>
    </row>
    <row r="93" spans="1:12" ht="46.5" customHeight="1" x14ac:dyDescent="0.25">
      <c r="A93" s="85">
        <v>45291</v>
      </c>
      <c r="B93" s="86" t="s">
        <v>137</v>
      </c>
      <c r="C93" s="87" t="s">
        <v>126</v>
      </c>
      <c r="D93" s="87" t="s">
        <v>138</v>
      </c>
      <c r="E93" s="87" t="s">
        <v>19</v>
      </c>
      <c r="F93" s="88" t="s">
        <v>525</v>
      </c>
      <c r="G93" s="88" t="s">
        <v>587</v>
      </c>
      <c r="H93" s="88" t="s">
        <v>560</v>
      </c>
      <c r="I93" s="89" t="s">
        <v>18</v>
      </c>
      <c r="J93" s="93" t="s">
        <v>539</v>
      </c>
      <c r="K93" s="30" t="s">
        <v>289</v>
      </c>
      <c r="L93" s="34">
        <f>VLOOKUP($B93,QualitativeNotes!B:C,2,FALSE)</f>
        <v>0</v>
      </c>
    </row>
    <row r="94" spans="1:12" ht="46.5" customHeight="1" x14ac:dyDescent="0.25">
      <c r="A94" s="85">
        <v>45291</v>
      </c>
      <c r="B94" s="86" t="s">
        <v>137</v>
      </c>
      <c r="C94" s="87" t="s">
        <v>126</v>
      </c>
      <c r="D94" s="87" t="s">
        <v>138</v>
      </c>
      <c r="E94" s="87" t="s">
        <v>19</v>
      </c>
      <c r="F94" s="88" t="s">
        <v>525</v>
      </c>
      <c r="G94" s="88" t="s">
        <v>587</v>
      </c>
      <c r="H94" s="88" t="s">
        <v>560</v>
      </c>
      <c r="I94" s="89" t="s">
        <v>18</v>
      </c>
      <c r="J94" s="93" t="s">
        <v>540</v>
      </c>
      <c r="K94" s="30" t="s">
        <v>289</v>
      </c>
      <c r="L94" s="34">
        <f>VLOOKUP($B94,QualitativeNotes!B:C,2,FALSE)</f>
        <v>0</v>
      </c>
    </row>
    <row r="95" spans="1:12" ht="46.5" customHeight="1" x14ac:dyDescent="0.25">
      <c r="A95" s="85">
        <v>45291</v>
      </c>
      <c r="B95" s="86" t="s">
        <v>137</v>
      </c>
      <c r="C95" s="87" t="s">
        <v>126</v>
      </c>
      <c r="D95" s="87" t="s">
        <v>138</v>
      </c>
      <c r="E95" s="87" t="s">
        <v>19</v>
      </c>
      <c r="F95" s="88" t="s">
        <v>525</v>
      </c>
      <c r="G95" s="88" t="s">
        <v>587</v>
      </c>
      <c r="H95" s="88" t="s">
        <v>560</v>
      </c>
      <c r="I95" s="89" t="s">
        <v>18</v>
      </c>
      <c r="J95" s="93" t="s">
        <v>541</v>
      </c>
      <c r="K95" s="30" cm="1">
        <f t="array" ref="K95">VLOOKUP(A95&amp;J95,CHOOSE({1,2},CCPA_DataFile_6_2!$A:$A&amp;CCPA_DataFile_6_2!$D:$D,CCPA_DataFile_6_2!$J:$J),2,0)</f>
        <v>7950548</v>
      </c>
      <c r="L95" s="34">
        <f>VLOOKUP($B95,QualitativeNotes!B:C,2,FALSE)</f>
        <v>0</v>
      </c>
    </row>
    <row r="96" spans="1:12" ht="46.5" customHeight="1" x14ac:dyDescent="0.25">
      <c r="A96" s="85">
        <v>45291</v>
      </c>
      <c r="B96" s="86" t="s">
        <v>137</v>
      </c>
      <c r="C96" s="87" t="s">
        <v>126</v>
      </c>
      <c r="D96" s="87" t="s">
        <v>138</v>
      </c>
      <c r="E96" s="87" t="s">
        <v>19</v>
      </c>
      <c r="F96" s="88" t="s">
        <v>525</v>
      </c>
      <c r="G96" s="88" t="s">
        <v>587</v>
      </c>
      <c r="H96" s="88" t="s">
        <v>560</v>
      </c>
      <c r="I96" s="89" t="s">
        <v>18</v>
      </c>
      <c r="J96" s="93" t="s">
        <v>542</v>
      </c>
      <c r="K96" s="30" cm="1">
        <f t="array" ref="K96">VLOOKUP(A96&amp;J96,CHOOSE({1,2},CCPA_DataFile_6_2!$A:$A&amp;CCPA_DataFile_6_2!$D:$D,CCPA_DataFile_6_2!$J:$J),2,0)</f>
        <v>8641900</v>
      </c>
      <c r="L96" s="34">
        <f>VLOOKUP($B96,QualitativeNotes!B:C,2,FALSE)</f>
        <v>0</v>
      </c>
    </row>
    <row r="97" spans="1:12" ht="45" x14ac:dyDescent="0.25">
      <c r="A97" s="85">
        <v>45291</v>
      </c>
      <c r="B97" s="86" t="s">
        <v>139</v>
      </c>
      <c r="C97" s="87" t="s">
        <v>126</v>
      </c>
      <c r="D97" s="87" t="s">
        <v>140</v>
      </c>
      <c r="E97" s="87" t="s">
        <v>19</v>
      </c>
      <c r="F97" s="88" t="s">
        <v>525</v>
      </c>
      <c r="G97" s="88" t="s">
        <v>587</v>
      </c>
      <c r="H97" s="88" t="s">
        <v>560</v>
      </c>
      <c r="I97" s="89" t="s">
        <v>18</v>
      </c>
      <c r="J97" s="93" t="s">
        <v>537</v>
      </c>
      <c r="K97" s="30" t="s">
        <v>289</v>
      </c>
      <c r="L97" s="34">
        <f>VLOOKUP($B97,QualitativeNotes!B:C,2,FALSE)</f>
        <v>0</v>
      </c>
    </row>
    <row r="98" spans="1:12" ht="45" x14ac:dyDescent="0.25">
      <c r="A98" s="85">
        <v>45291</v>
      </c>
      <c r="B98" s="86" t="s">
        <v>139</v>
      </c>
      <c r="C98" s="87" t="s">
        <v>126</v>
      </c>
      <c r="D98" s="87" t="s">
        <v>140</v>
      </c>
      <c r="E98" s="87" t="s">
        <v>19</v>
      </c>
      <c r="F98" s="88" t="s">
        <v>525</v>
      </c>
      <c r="G98" s="88" t="s">
        <v>587</v>
      </c>
      <c r="H98" s="88" t="s">
        <v>560</v>
      </c>
      <c r="I98" s="89" t="s">
        <v>18</v>
      </c>
      <c r="J98" s="93" t="s">
        <v>538</v>
      </c>
      <c r="K98" s="30" t="s">
        <v>289</v>
      </c>
      <c r="L98" s="34">
        <f>VLOOKUP($B98,QualitativeNotes!B:C,2,FALSE)</f>
        <v>0</v>
      </c>
    </row>
    <row r="99" spans="1:12" ht="45" x14ac:dyDescent="0.25">
      <c r="A99" s="85">
        <v>45291</v>
      </c>
      <c r="B99" s="86" t="s">
        <v>139</v>
      </c>
      <c r="C99" s="87" t="s">
        <v>126</v>
      </c>
      <c r="D99" s="87" t="s">
        <v>140</v>
      </c>
      <c r="E99" s="87" t="s">
        <v>19</v>
      </c>
      <c r="F99" s="88" t="s">
        <v>525</v>
      </c>
      <c r="G99" s="88" t="s">
        <v>587</v>
      </c>
      <c r="H99" s="88" t="s">
        <v>560</v>
      </c>
      <c r="I99" s="89" t="s">
        <v>18</v>
      </c>
      <c r="J99" s="93" t="s">
        <v>539</v>
      </c>
      <c r="K99" s="30" t="s">
        <v>289</v>
      </c>
      <c r="L99" s="34">
        <f>VLOOKUP($B99,QualitativeNotes!B:C,2,FALSE)</f>
        <v>0</v>
      </c>
    </row>
    <row r="100" spans="1:12" ht="45" x14ac:dyDescent="0.25">
      <c r="A100" s="85">
        <v>45291</v>
      </c>
      <c r="B100" s="86" t="s">
        <v>139</v>
      </c>
      <c r="C100" s="87" t="s">
        <v>126</v>
      </c>
      <c r="D100" s="87" t="s">
        <v>140</v>
      </c>
      <c r="E100" s="87" t="s">
        <v>19</v>
      </c>
      <c r="F100" s="88" t="s">
        <v>525</v>
      </c>
      <c r="G100" s="88" t="s">
        <v>587</v>
      </c>
      <c r="H100" s="88" t="s">
        <v>560</v>
      </c>
      <c r="I100" s="89" t="s">
        <v>18</v>
      </c>
      <c r="J100" s="93" t="s">
        <v>540</v>
      </c>
      <c r="K100" s="30" t="s">
        <v>289</v>
      </c>
      <c r="L100" s="34">
        <f>VLOOKUP($B100,QualitativeNotes!B:C,2,FALSE)</f>
        <v>0</v>
      </c>
    </row>
    <row r="101" spans="1:12" ht="45" x14ac:dyDescent="0.25">
      <c r="A101" s="85">
        <v>45291</v>
      </c>
      <c r="B101" s="86" t="s">
        <v>139</v>
      </c>
      <c r="C101" s="87" t="s">
        <v>126</v>
      </c>
      <c r="D101" s="87" t="s">
        <v>140</v>
      </c>
      <c r="E101" s="87" t="s">
        <v>19</v>
      </c>
      <c r="F101" s="88" t="s">
        <v>525</v>
      </c>
      <c r="G101" s="88" t="s">
        <v>587</v>
      </c>
      <c r="H101" s="88" t="s">
        <v>560</v>
      </c>
      <c r="I101" s="89" t="s">
        <v>18</v>
      </c>
      <c r="J101" s="93" t="s">
        <v>541</v>
      </c>
      <c r="K101" s="30" cm="1">
        <f t="array" ref="K101">VLOOKUP(A101&amp;J101,CHOOSE({1,2},CCPA_DataFile_6_2!$A:$A&amp;CCPA_DataFile_6_2!$D:$D,CCPA_DataFile_6_2!$K:$K),2,0)</f>
        <v>4374140</v>
      </c>
      <c r="L101" s="34">
        <f>VLOOKUP($B101,QualitativeNotes!B:C,2,FALSE)</f>
        <v>0</v>
      </c>
    </row>
    <row r="102" spans="1:12" ht="45" x14ac:dyDescent="0.25">
      <c r="A102" s="85">
        <v>45291</v>
      </c>
      <c r="B102" s="86" t="s">
        <v>139</v>
      </c>
      <c r="C102" s="87" t="s">
        <v>126</v>
      </c>
      <c r="D102" s="87" t="s">
        <v>140</v>
      </c>
      <c r="E102" s="87" t="s">
        <v>19</v>
      </c>
      <c r="F102" s="88" t="s">
        <v>525</v>
      </c>
      <c r="G102" s="88" t="s">
        <v>587</v>
      </c>
      <c r="H102" s="88" t="s">
        <v>560</v>
      </c>
      <c r="I102" s="89" t="s">
        <v>18</v>
      </c>
      <c r="J102" s="93" t="s">
        <v>542</v>
      </c>
      <c r="K102" s="30" cm="1">
        <f t="array" ref="K102">VLOOKUP(A102&amp;J102,CHOOSE({1,2},CCPA_DataFile_6_2!$A:$A&amp;CCPA_DataFile_6_2!$D:$D,CCPA_DataFile_6_2!$K:$K),2,0)</f>
        <v>4754500</v>
      </c>
      <c r="L102" s="34">
        <f>VLOOKUP($B102,QualitativeNotes!B:C,2,FALSE)</f>
        <v>0</v>
      </c>
    </row>
    <row r="103" spans="1:12" ht="45.75" customHeight="1" x14ac:dyDescent="0.25">
      <c r="A103" s="85">
        <v>45291</v>
      </c>
      <c r="B103" s="86" t="s">
        <v>141</v>
      </c>
      <c r="C103" s="87" t="s">
        <v>126</v>
      </c>
      <c r="D103" s="87" t="s">
        <v>142</v>
      </c>
      <c r="E103" s="87" t="s">
        <v>19</v>
      </c>
      <c r="F103" s="88" t="s">
        <v>525</v>
      </c>
      <c r="G103" s="88" t="s">
        <v>587</v>
      </c>
      <c r="H103" s="88" t="s">
        <v>560</v>
      </c>
      <c r="I103" s="89" t="s">
        <v>18</v>
      </c>
      <c r="J103" s="93" t="s">
        <v>537</v>
      </c>
      <c r="K103" s="30" t="s">
        <v>289</v>
      </c>
      <c r="L103" s="34">
        <f>VLOOKUP($B103,QualitativeNotes!B:C,2,FALSE)</f>
        <v>0</v>
      </c>
    </row>
    <row r="104" spans="1:12" ht="45.75" customHeight="1" x14ac:dyDescent="0.25">
      <c r="A104" s="85">
        <v>45291</v>
      </c>
      <c r="B104" s="86" t="s">
        <v>141</v>
      </c>
      <c r="C104" s="87" t="s">
        <v>126</v>
      </c>
      <c r="D104" s="87" t="s">
        <v>142</v>
      </c>
      <c r="E104" s="87" t="s">
        <v>19</v>
      </c>
      <c r="F104" s="88" t="s">
        <v>525</v>
      </c>
      <c r="G104" s="88" t="s">
        <v>587</v>
      </c>
      <c r="H104" s="88" t="s">
        <v>560</v>
      </c>
      <c r="I104" s="89" t="s">
        <v>18</v>
      </c>
      <c r="J104" s="93" t="s">
        <v>538</v>
      </c>
      <c r="K104" s="30" t="s">
        <v>289</v>
      </c>
      <c r="L104" s="34">
        <f>VLOOKUP($B104,QualitativeNotes!B:C,2,FALSE)</f>
        <v>0</v>
      </c>
    </row>
    <row r="105" spans="1:12" ht="45.75" customHeight="1" x14ac:dyDescent="0.25">
      <c r="A105" s="85">
        <v>45291</v>
      </c>
      <c r="B105" s="86" t="s">
        <v>141</v>
      </c>
      <c r="C105" s="87" t="s">
        <v>126</v>
      </c>
      <c r="D105" s="87" t="s">
        <v>142</v>
      </c>
      <c r="E105" s="87" t="s">
        <v>19</v>
      </c>
      <c r="F105" s="88" t="s">
        <v>525</v>
      </c>
      <c r="G105" s="88" t="s">
        <v>587</v>
      </c>
      <c r="H105" s="88" t="s">
        <v>560</v>
      </c>
      <c r="I105" s="89" t="s">
        <v>18</v>
      </c>
      <c r="J105" s="93" t="s">
        <v>539</v>
      </c>
      <c r="K105" s="30" t="s">
        <v>289</v>
      </c>
      <c r="L105" s="34">
        <f>VLOOKUP($B105,QualitativeNotes!B:C,2,FALSE)</f>
        <v>0</v>
      </c>
    </row>
    <row r="106" spans="1:12" ht="45.75" customHeight="1" x14ac:dyDescent="0.25">
      <c r="A106" s="85">
        <v>45291</v>
      </c>
      <c r="B106" s="86" t="s">
        <v>141</v>
      </c>
      <c r="C106" s="87" t="s">
        <v>126</v>
      </c>
      <c r="D106" s="87" t="s">
        <v>142</v>
      </c>
      <c r="E106" s="87" t="s">
        <v>19</v>
      </c>
      <c r="F106" s="88" t="s">
        <v>525</v>
      </c>
      <c r="G106" s="88" t="s">
        <v>587</v>
      </c>
      <c r="H106" s="88" t="s">
        <v>560</v>
      </c>
      <c r="I106" s="89" t="s">
        <v>18</v>
      </c>
      <c r="J106" s="93" t="s">
        <v>540</v>
      </c>
      <c r="K106" s="30" t="s">
        <v>289</v>
      </c>
      <c r="L106" s="34">
        <f>VLOOKUP($B106,QualitativeNotes!B:C,2,FALSE)</f>
        <v>0</v>
      </c>
    </row>
    <row r="107" spans="1:12" ht="45.75" customHeight="1" x14ac:dyDescent="0.25">
      <c r="A107" s="85">
        <v>45291</v>
      </c>
      <c r="B107" s="86" t="s">
        <v>141</v>
      </c>
      <c r="C107" s="87" t="s">
        <v>126</v>
      </c>
      <c r="D107" s="87" t="s">
        <v>142</v>
      </c>
      <c r="E107" s="87" t="s">
        <v>19</v>
      </c>
      <c r="F107" s="88" t="s">
        <v>525</v>
      </c>
      <c r="G107" s="88" t="s">
        <v>587</v>
      </c>
      <c r="H107" s="88" t="s">
        <v>560</v>
      </c>
      <c r="I107" s="89" t="s">
        <v>18</v>
      </c>
      <c r="J107" s="93" t="s">
        <v>541</v>
      </c>
      <c r="K107" s="30" cm="1">
        <f t="array" ref="K107">VLOOKUP(A107&amp;J107,CHOOSE({1,2},CCPA_DataFile_6_2!$A:$A&amp;CCPA_DataFile_6_2!$D:$D,CCPA_DataFile_6_2!$L:$L),2,0)</f>
        <v>0</v>
      </c>
      <c r="L107" s="34">
        <f>VLOOKUP($B107,QualitativeNotes!B:C,2,FALSE)</f>
        <v>0</v>
      </c>
    </row>
    <row r="108" spans="1:12" ht="45.75" customHeight="1" x14ac:dyDescent="0.25">
      <c r="A108" s="85">
        <v>45291</v>
      </c>
      <c r="B108" s="86" t="s">
        <v>141</v>
      </c>
      <c r="C108" s="87" t="s">
        <v>126</v>
      </c>
      <c r="D108" s="87" t="s">
        <v>142</v>
      </c>
      <c r="E108" s="87" t="s">
        <v>19</v>
      </c>
      <c r="F108" s="88" t="s">
        <v>525</v>
      </c>
      <c r="G108" s="88" t="s">
        <v>587</v>
      </c>
      <c r="H108" s="88" t="s">
        <v>560</v>
      </c>
      <c r="I108" s="89" t="s">
        <v>18</v>
      </c>
      <c r="J108" s="93" t="s">
        <v>542</v>
      </c>
      <c r="K108" s="30" cm="1">
        <f t="array" ref="K108">VLOOKUP(A108&amp;J108,CHOOSE({1,2},CCPA_DataFile_6_2!$A:$A&amp;CCPA_DataFile_6_2!$D:$D,CCPA_DataFile_6_2!$L:$L),2,0)</f>
        <v>0</v>
      </c>
      <c r="L108" s="34">
        <f>VLOOKUP($B108,QualitativeNotes!B:C,2,FALSE)</f>
        <v>0</v>
      </c>
    </row>
    <row r="109" spans="1:12" ht="45.75" customHeight="1" x14ac:dyDescent="0.25">
      <c r="A109" s="85">
        <v>45291</v>
      </c>
      <c r="B109" s="86" t="s">
        <v>143</v>
      </c>
      <c r="C109" s="87" t="s">
        <v>126</v>
      </c>
      <c r="D109" s="87" t="s">
        <v>144</v>
      </c>
      <c r="E109" s="87" t="s">
        <v>19</v>
      </c>
      <c r="F109" s="88" t="s">
        <v>525</v>
      </c>
      <c r="G109" s="88" t="s">
        <v>587</v>
      </c>
      <c r="H109" s="88" t="s">
        <v>560</v>
      </c>
      <c r="I109" s="89" t="s">
        <v>18</v>
      </c>
      <c r="J109" s="93" t="s">
        <v>537</v>
      </c>
      <c r="K109" s="30" t="s">
        <v>289</v>
      </c>
      <c r="L109" s="34">
        <f>VLOOKUP($B109,QualitativeNotes!B:C,2,FALSE)</f>
        <v>0</v>
      </c>
    </row>
    <row r="110" spans="1:12" ht="45.75" customHeight="1" x14ac:dyDescent="0.25">
      <c r="A110" s="85">
        <v>45291</v>
      </c>
      <c r="B110" s="86" t="s">
        <v>143</v>
      </c>
      <c r="C110" s="87" t="s">
        <v>126</v>
      </c>
      <c r="D110" s="87" t="s">
        <v>144</v>
      </c>
      <c r="E110" s="87" t="s">
        <v>19</v>
      </c>
      <c r="F110" s="88" t="s">
        <v>525</v>
      </c>
      <c r="G110" s="88" t="s">
        <v>587</v>
      </c>
      <c r="H110" s="88" t="s">
        <v>560</v>
      </c>
      <c r="I110" s="89" t="s">
        <v>18</v>
      </c>
      <c r="J110" s="93" t="s">
        <v>538</v>
      </c>
      <c r="K110" s="30" t="s">
        <v>289</v>
      </c>
      <c r="L110" s="34">
        <f>VLOOKUP($B110,QualitativeNotes!B:C,2,FALSE)</f>
        <v>0</v>
      </c>
    </row>
    <row r="111" spans="1:12" ht="45.75" customHeight="1" x14ac:dyDescent="0.25">
      <c r="A111" s="85">
        <v>45291</v>
      </c>
      <c r="B111" s="86" t="s">
        <v>143</v>
      </c>
      <c r="C111" s="87" t="s">
        <v>126</v>
      </c>
      <c r="D111" s="87" t="s">
        <v>144</v>
      </c>
      <c r="E111" s="87" t="s">
        <v>19</v>
      </c>
      <c r="F111" s="88" t="s">
        <v>525</v>
      </c>
      <c r="G111" s="88" t="s">
        <v>587</v>
      </c>
      <c r="H111" s="88" t="s">
        <v>560</v>
      </c>
      <c r="I111" s="89" t="s">
        <v>18</v>
      </c>
      <c r="J111" s="93" t="s">
        <v>539</v>
      </c>
      <c r="K111" s="30" t="s">
        <v>289</v>
      </c>
      <c r="L111" s="34">
        <f>VLOOKUP($B111,QualitativeNotes!B:C,2,FALSE)</f>
        <v>0</v>
      </c>
    </row>
    <row r="112" spans="1:12" ht="45.75" customHeight="1" x14ac:dyDescent="0.25">
      <c r="A112" s="85">
        <v>45291</v>
      </c>
      <c r="B112" s="86" t="s">
        <v>143</v>
      </c>
      <c r="C112" s="87" t="s">
        <v>126</v>
      </c>
      <c r="D112" s="87" t="s">
        <v>144</v>
      </c>
      <c r="E112" s="87" t="s">
        <v>19</v>
      </c>
      <c r="F112" s="88" t="s">
        <v>525</v>
      </c>
      <c r="G112" s="88" t="s">
        <v>587</v>
      </c>
      <c r="H112" s="88" t="s">
        <v>560</v>
      </c>
      <c r="I112" s="89" t="s">
        <v>18</v>
      </c>
      <c r="J112" s="93" t="s">
        <v>540</v>
      </c>
      <c r="K112" s="30" t="s">
        <v>289</v>
      </c>
      <c r="L112" s="34">
        <f>VLOOKUP($B112,QualitativeNotes!B:C,2,FALSE)</f>
        <v>0</v>
      </c>
    </row>
    <row r="113" spans="1:12" ht="45.75" customHeight="1" x14ac:dyDescent="0.25">
      <c r="A113" s="85">
        <v>45291</v>
      </c>
      <c r="B113" s="86" t="s">
        <v>143</v>
      </c>
      <c r="C113" s="87" t="s">
        <v>126</v>
      </c>
      <c r="D113" s="87" t="s">
        <v>144</v>
      </c>
      <c r="E113" s="87" t="s">
        <v>19</v>
      </c>
      <c r="F113" s="88" t="s">
        <v>525</v>
      </c>
      <c r="G113" s="88" t="s">
        <v>587</v>
      </c>
      <c r="H113" s="88" t="s">
        <v>560</v>
      </c>
      <c r="I113" s="89" t="s">
        <v>18</v>
      </c>
      <c r="J113" s="93" t="s">
        <v>541</v>
      </c>
      <c r="K113" s="30" cm="1">
        <f t="array" ref="K113">VLOOKUP(A113&amp;J113,CHOOSE({1,2},CCPA_DataFile_6_2!$A:$A&amp;CCPA_DataFile_6_2!$D:$D,CCPA_DataFile_6_2!$M:$M),2,0)</f>
        <v>3266838</v>
      </c>
      <c r="L113" s="34">
        <f>VLOOKUP($B113,QualitativeNotes!B:C,2,FALSE)</f>
        <v>0</v>
      </c>
    </row>
    <row r="114" spans="1:12" ht="45.75" customHeight="1" x14ac:dyDescent="0.25">
      <c r="A114" s="85">
        <v>45291</v>
      </c>
      <c r="B114" s="86" t="s">
        <v>143</v>
      </c>
      <c r="C114" s="87" t="s">
        <v>126</v>
      </c>
      <c r="D114" s="87" t="s">
        <v>144</v>
      </c>
      <c r="E114" s="87" t="s">
        <v>19</v>
      </c>
      <c r="F114" s="88" t="s">
        <v>525</v>
      </c>
      <c r="G114" s="88" t="s">
        <v>587</v>
      </c>
      <c r="H114" s="88" t="s">
        <v>560</v>
      </c>
      <c r="I114" s="89" t="s">
        <v>18</v>
      </c>
      <c r="J114" s="93" t="s">
        <v>542</v>
      </c>
      <c r="K114" s="30" cm="1">
        <f t="array" ref="K114">VLOOKUP(A114&amp;J114,CHOOSE({1,2},CCPA_DataFile_6_2!$A:$A&amp;CCPA_DataFile_6_2!$D:$D,CCPA_DataFile_6_2!$M:$M),2,0)</f>
        <v>3629820</v>
      </c>
      <c r="L114" s="34">
        <f>VLOOKUP($B114,QualitativeNotes!B:C,2,FALSE)</f>
        <v>0</v>
      </c>
    </row>
    <row r="115" spans="1:12" ht="45.75" customHeight="1" x14ac:dyDescent="0.25">
      <c r="A115" s="85">
        <v>45291</v>
      </c>
      <c r="B115" s="86" t="s">
        <v>145</v>
      </c>
      <c r="C115" s="87" t="s">
        <v>126</v>
      </c>
      <c r="D115" s="87" t="s">
        <v>146</v>
      </c>
      <c r="E115" s="87" t="s">
        <v>19</v>
      </c>
      <c r="F115" s="88" t="s">
        <v>525</v>
      </c>
      <c r="G115" s="88" t="s">
        <v>587</v>
      </c>
      <c r="H115" s="88" t="s">
        <v>560</v>
      </c>
      <c r="I115" s="89" t="s">
        <v>18</v>
      </c>
      <c r="J115" s="93" t="s">
        <v>537</v>
      </c>
      <c r="K115" s="30" t="s">
        <v>289</v>
      </c>
      <c r="L115" s="34">
        <f>VLOOKUP($B115,QualitativeNotes!B:C,2,FALSE)</f>
        <v>0</v>
      </c>
    </row>
    <row r="116" spans="1:12" ht="45.75" customHeight="1" x14ac:dyDescent="0.25">
      <c r="A116" s="85">
        <v>45291</v>
      </c>
      <c r="B116" s="86" t="s">
        <v>145</v>
      </c>
      <c r="C116" s="87" t="s">
        <v>126</v>
      </c>
      <c r="D116" s="87" t="s">
        <v>146</v>
      </c>
      <c r="E116" s="87" t="s">
        <v>19</v>
      </c>
      <c r="F116" s="88" t="s">
        <v>525</v>
      </c>
      <c r="G116" s="88" t="s">
        <v>587</v>
      </c>
      <c r="H116" s="88" t="s">
        <v>560</v>
      </c>
      <c r="I116" s="89" t="s">
        <v>18</v>
      </c>
      <c r="J116" s="93" t="s">
        <v>538</v>
      </c>
      <c r="K116" s="30" t="s">
        <v>289</v>
      </c>
      <c r="L116" s="34">
        <f>VLOOKUP($B116,QualitativeNotes!B:C,2,FALSE)</f>
        <v>0</v>
      </c>
    </row>
    <row r="117" spans="1:12" ht="45.75" customHeight="1" x14ac:dyDescent="0.25">
      <c r="A117" s="85">
        <v>45291</v>
      </c>
      <c r="B117" s="86" t="s">
        <v>145</v>
      </c>
      <c r="C117" s="87" t="s">
        <v>126</v>
      </c>
      <c r="D117" s="87" t="s">
        <v>146</v>
      </c>
      <c r="E117" s="87" t="s">
        <v>19</v>
      </c>
      <c r="F117" s="88" t="s">
        <v>525</v>
      </c>
      <c r="G117" s="88" t="s">
        <v>587</v>
      </c>
      <c r="H117" s="88" t="s">
        <v>560</v>
      </c>
      <c r="I117" s="89" t="s">
        <v>18</v>
      </c>
      <c r="J117" s="93" t="s">
        <v>539</v>
      </c>
      <c r="K117" s="30" t="s">
        <v>289</v>
      </c>
      <c r="L117" s="34">
        <f>VLOOKUP($B117,QualitativeNotes!B:C,2,FALSE)</f>
        <v>0</v>
      </c>
    </row>
    <row r="118" spans="1:12" ht="45.75" customHeight="1" x14ac:dyDescent="0.25">
      <c r="A118" s="85">
        <v>45291</v>
      </c>
      <c r="B118" s="86" t="s">
        <v>145</v>
      </c>
      <c r="C118" s="87" t="s">
        <v>126</v>
      </c>
      <c r="D118" s="87" t="s">
        <v>146</v>
      </c>
      <c r="E118" s="87" t="s">
        <v>19</v>
      </c>
      <c r="F118" s="88" t="s">
        <v>525</v>
      </c>
      <c r="G118" s="88" t="s">
        <v>587</v>
      </c>
      <c r="H118" s="88" t="s">
        <v>560</v>
      </c>
      <c r="I118" s="89" t="s">
        <v>18</v>
      </c>
      <c r="J118" s="93" t="s">
        <v>540</v>
      </c>
      <c r="K118" s="30" t="s">
        <v>289</v>
      </c>
      <c r="L118" s="34">
        <f>VLOOKUP($B118,QualitativeNotes!B:C,2,FALSE)</f>
        <v>0</v>
      </c>
    </row>
    <row r="119" spans="1:12" ht="45.75" customHeight="1" x14ac:dyDescent="0.25">
      <c r="A119" s="85">
        <v>45291</v>
      </c>
      <c r="B119" s="86" t="s">
        <v>145</v>
      </c>
      <c r="C119" s="87" t="s">
        <v>126</v>
      </c>
      <c r="D119" s="87" t="s">
        <v>146</v>
      </c>
      <c r="E119" s="87" t="s">
        <v>19</v>
      </c>
      <c r="F119" s="88" t="s">
        <v>525</v>
      </c>
      <c r="G119" s="88" t="s">
        <v>587</v>
      </c>
      <c r="H119" s="88" t="s">
        <v>560</v>
      </c>
      <c r="I119" s="89" t="s">
        <v>18</v>
      </c>
      <c r="J119" s="93" t="s">
        <v>541</v>
      </c>
      <c r="K119" s="30" cm="1">
        <f t="array" ref="K119">VLOOKUP(A119&amp;J119,CHOOSE({1,2},CCPA_DataFile_6_2!$A:$A&amp;CCPA_DataFile_6_2!$D:$D,CCPA_DataFile_6_2!$N:$N),2,0)</f>
        <v>0</v>
      </c>
      <c r="L119" s="34">
        <f>VLOOKUP($B119,QualitativeNotes!B:C,2,FALSE)</f>
        <v>0</v>
      </c>
    </row>
    <row r="120" spans="1:12" ht="45.75" customHeight="1" x14ac:dyDescent="0.25">
      <c r="A120" s="85">
        <v>45291</v>
      </c>
      <c r="B120" s="86" t="s">
        <v>145</v>
      </c>
      <c r="C120" s="87" t="s">
        <v>126</v>
      </c>
      <c r="D120" s="87" t="s">
        <v>146</v>
      </c>
      <c r="E120" s="87" t="s">
        <v>19</v>
      </c>
      <c r="F120" s="88" t="s">
        <v>525</v>
      </c>
      <c r="G120" s="88" t="s">
        <v>587</v>
      </c>
      <c r="H120" s="88" t="s">
        <v>560</v>
      </c>
      <c r="I120" s="89" t="s">
        <v>18</v>
      </c>
      <c r="J120" s="93" t="s">
        <v>542</v>
      </c>
      <c r="K120" s="30" cm="1">
        <f t="array" ref="K120">VLOOKUP(A120&amp;J120,CHOOSE({1,2},CCPA_DataFile_6_2!$A:$A&amp;CCPA_DataFile_6_2!$D:$D,CCPA_DataFile_6_2!$N:$N),2,0)</f>
        <v>0</v>
      </c>
      <c r="L120" s="34">
        <f>VLOOKUP($B120,QualitativeNotes!B:C,2,FALSE)</f>
        <v>0</v>
      </c>
    </row>
    <row r="121" spans="1:12" ht="45.75" customHeight="1" x14ac:dyDescent="0.25">
      <c r="A121" s="85">
        <v>45291</v>
      </c>
      <c r="B121" s="86" t="s">
        <v>147</v>
      </c>
      <c r="C121" s="87" t="s">
        <v>126</v>
      </c>
      <c r="D121" s="87" t="s">
        <v>148</v>
      </c>
      <c r="E121" s="87" t="s">
        <v>19</v>
      </c>
      <c r="F121" s="88" t="s">
        <v>525</v>
      </c>
      <c r="G121" s="88" t="s">
        <v>587</v>
      </c>
      <c r="H121" s="88" t="s">
        <v>560</v>
      </c>
      <c r="I121" s="89" t="s">
        <v>18</v>
      </c>
      <c r="J121" s="93" t="s">
        <v>537</v>
      </c>
      <c r="K121" s="30" t="s">
        <v>289</v>
      </c>
      <c r="L121" s="34">
        <f>VLOOKUP($B121,QualitativeNotes!B:C,2,FALSE)</f>
        <v>0</v>
      </c>
    </row>
    <row r="122" spans="1:12" ht="45.75" customHeight="1" x14ac:dyDescent="0.25">
      <c r="A122" s="85">
        <v>45291</v>
      </c>
      <c r="B122" s="86" t="s">
        <v>147</v>
      </c>
      <c r="C122" s="87" t="s">
        <v>126</v>
      </c>
      <c r="D122" s="87" t="s">
        <v>148</v>
      </c>
      <c r="E122" s="87" t="s">
        <v>19</v>
      </c>
      <c r="F122" s="88" t="s">
        <v>525</v>
      </c>
      <c r="G122" s="88" t="s">
        <v>587</v>
      </c>
      <c r="H122" s="88" t="s">
        <v>560</v>
      </c>
      <c r="I122" s="89" t="s">
        <v>18</v>
      </c>
      <c r="J122" s="93" t="s">
        <v>538</v>
      </c>
      <c r="K122" s="30" t="s">
        <v>289</v>
      </c>
      <c r="L122" s="34">
        <f>VLOOKUP($B122,QualitativeNotes!B:C,2,FALSE)</f>
        <v>0</v>
      </c>
    </row>
    <row r="123" spans="1:12" ht="45.75" customHeight="1" x14ac:dyDescent="0.25">
      <c r="A123" s="85">
        <v>45291</v>
      </c>
      <c r="B123" s="86" t="s">
        <v>147</v>
      </c>
      <c r="C123" s="87" t="s">
        <v>126</v>
      </c>
      <c r="D123" s="87" t="s">
        <v>148</v>
      </c>
      <c r="E123" s="87" t="s">
        <v>19</v>
      </c>
      <c r="F123" s="88" t="s">
        <v>525</v>
      </c>
      <c r="G123" s="88" t="s">
        <v>587</v>
      </c>
      <c r="H123" s="88" t="s">
        <v>560</v>
      </c>
      <c r="I123" s="89" t="s">
        <v>18</v>
      </c>
      <c r="J123" s="93" t="s">
        <v>539</v>
      </c>
      <c r="K123" s="30" t="s">
        <v>289</v>
      </c>
      <c r="L123" s="34">
        <f>VLOOKUP($B123,QualitativeNotes!B:C,2,FALSE)</f>
        <v>0</v>
      </c>
    </row>
    <row r="124" spans="1:12" ht="45.75" customHeight="1" x14ac:dyDescent="0.25">
      <c r="A124" s="85">
        <v>45291</v>
      </c>
      <c r="B124" s="86" t="s">
        <v>147</v>
      </c>
      <c r="C124" s="87" t="s">
        <v>126</v>
      </c>
      <c r="D124" s="87" t="s">
        <v>148</v>
      </c>
      <c r="E124" s="87" t="s">
        <v>19</v>
      </c>
      <c r="F124" s="88" t="s">
        <v>525</v>
      </c>
      <c r="G124" s="88" t="s">
        <v>587</v>
      </c>
      <c r="H124" s="88" t="s">
        <v>560</v>
      </c>
      <c r="I124" s="89" t="s">
        <v>18</v>
      </c>
      <c r="J124" s="93" t="s">
        <v>540</v>
      </c>
      <c r="K124" s="30" t="s">
        <v>289</v>
      </c>
      <c r="L124" s="34">
        <f>VLOOKUP($B124,QualitativeNotes!B:C,2,FALSE)</f>
        <v>0</v>
      </c>
    </row>
    <row r="125" spans="1:12" ht="45.75" customHeight="1" x14ac:dyDescent="0.25">
      <c r="A125" s="85">
        <v>45291</v>
      </c>
      <c r="B125" s="86" t="s">
        <v>147</v>
      </c>
      <c r="C125" s="87" t="s">
        <v>126</v>
      </c>
      <c r="D125" s="87" t="s">
        <v>148</v>
      </c>
      <c r="E125" s="87" t="s">
        <v>19</v>
      </c>
      <c r="F125" s="88" t="s">
        <v>525</v>
      </c>
      <c r="G125" s="88" t="s">
        <v>587</v>
      </c>
      <c r="H125" s="88" t="s">
        <v>560</v>
      </c>
      <c r="I125" s="89" t="s">
        <v>18</v>
      </c>
      <c r="J125" s="93" t="s">
        <v>541</v>
      </c>
      <c r="K125" s="30" cm="1">
        <f t="array" ref="K125">VLOOKUP(A125&amp;J125,CHOOSE({1,2},CCPA_DataFile_6_2!$A:$A&amp;CCPA_DataFile_6_2!$D:$D,CCPA_DataFile_6_2!$O:$O),2,0)</f>
        <v>0</v>
      </c>
      <c r="L125" s="34">
        <f>VLOOKUP($B125,QualitativeNotes!B:C,2,FALSE)</f>
        <v>0</v>
      </c>
    </row>
    <row r="126" spans="1:12" ht="45.75" customHeight="1" x14ac:dyDescent="0.25">
      <c r="A126" s="85">
        <v>45291</v>
      </c>
      <c r="B126" s="86" t="s">
        <v>147</v>
      </c>
      <c r="C126" s="87" t="s">
        <v>126</v>
      </c>
      <c r="D126" s="87" t="s">
        <v>148</v>
      </c>
      <c r="E126" s="87" t="s">
        <v>19</v>
      </c>
      <c r="F126" s="88" t="s">
        <v>525</v>
      </c>
      <c r="G126" s="88" t="s">
        <v>587</v>
      </c>
      <c r="H126" s="88" t="s">
        <v>560</v>
      </c>
      <c r="I126" s="89" t="s">
        <v>18</v>
      </c>
      <c r="J126" s="93" t="s">
        <v>542</v>
      </c>
      <c r="K126" s="30" cm="1">
        <f t="array" ref="K126">VLOOKUP(A126&amp;J126,CHOOSE({1,2},CCPA_DataFile_6_2!$A:$A&amp;CCPA_DataFile_6_2!$D:$D,CCPA_DataFile_6_2!$O:$O),2,0)</f>
        <v>0</v>
      </c>
      <c r="L126" s="34">
        <f>VLOOKUP($B126,QualitativeNotes!B:C,2,FALSE)</f>
        <v>0</v>
      </c>
    </row>
    <row r="127" spans="1:12" ht="45.75" customHeight="1" x14ac:dyDescent="0.25">
      <c r="A127" s="85">
        <v>45291</v>
      </c>
      <c r="B127" s="86" t="s">
        <v>149</v>
      </c>
      <c r="C127" s="87" t="s">
        <v>126</v>
      </c>
      <c r="D127" s="87" t="s">
        <v>150</v>
      </c>
      <c r="E127" s="87" t="s">
        <v>19</v>
      </c>
      <c r="F127" s="88" t="s">
        <v>525</v>
      </c>
      <c r="G127" s="88" t="s">
        <v>587</v>
      </c>
      <c r="H127" s="88" t="s">
        <v>560</v>
      </c>
      <c r="I127" s="89" t="s">
        <v>18</v>
      </c>
      <c r="J127" s="93" t="s">
        <v>537</v>
      </c>
      <c r="K127" s="30" t="s">
        <v>289</v>
      </c>
      <c r="L127" s="34">
        <f>VLOOKUP($B127,QualitativeNotes!B:C,2,FALSE)</f>
        <v>0</v>
      </c>
    </row>
    <row r="128" spans="1:12" ht="45.75" customHeight="1" x14ac:dyDescent="0.25">
      <c r="A128" s="85">
        <v>45291</v>
      </c>
      <c r="B128" s="86" t="s">
        <v>149</v>
      </c>
      <c r="C128" s="87" t="s">
        <v>126</v>
      </c>
      <c r="D128" s="87" t="s">
        <v>150</v>
      </c>
      <c r="E128" s="87" t="s">
        <v>19</v>
      </c>
      <c r="F128" s="88" t="s">
        <v>525</v>
      </c>
      <c r="G128" s="88" t="s">
        <v>587</v>
      </c>
      <c r="H128" s="88" t="s">
        <v>560</v>
      </c>
      <c r="I128" s="89" t="s">
        <v>18</v>
      </c>
      <c r="J128" s="93" t="s">
        <v>538</v>
      </c>
      <c r="K128" s="30" t="s">
        <v>289</v>
      </c>
      <c r="L128" s="34">
        <f>VLOOKUP($B128,QualitativeNotes!B:C,2,FALSE)</f>
        <v>0</v>
      </c>
    </row>
    <row r="129" spans="1:12" ht="45.75" customHeight="1" x14ac:dyDescent="0.25">
      <c r="A129" s="85">
        <v>45291</v>
      </c>
      <c r="B129" s="86" t="s">
        <v>149</v>
      </c>
      <c r="C129" s="87" t="s">
        <v>126</v>
      </c>
      <c r="D129" s="87" t="s">
        <v>150</v>
      </c>
      <c r="E129" s="87" t="s">
        <v>19</v>
      </c>
      <c r="F129" s="88" t="s">
        <v>525</v>
      </c>
      <c r="G129" s="88" t="s">
        <v>587</v>
      </c>
      <c r="H129" s="88" t="s">
        <v>560</v>
      </c>
      <c r="I129" s="89" t="s">
        <v>18</v>
      </c>
      <c r="J129" s="93" t="s">
        <v>539</v>
      </c>
      <c r="K129" s="30" t="s">
        <v>289</v>
      </c>
      <c r="L129" s="34">
        <f>VLOOKUP($B129,QualitativeNotes!B:C,2,FALSE)</f>
        <v>0</v>
      </c>
    </row>
    <row r="130" spans="1:12" ht="45.75" customHeight="1" x14ac:dyDescent="0.25">
      <c r="A130" s="85">
        <v>45291</v>
      </c>
      <c r="B130" s="86" t="s">
        <v>149</v>
      </c>
      <c r="C130" s="87" t="s">
        <v>126</v>
      </c>
      <c r="D130" s="87" t="s">
        <v>150</v>
      </c>
      <c r="E130" s="87" t="s">
        <v>19</v>
      </c>
      <c r="F130" s="88" t="s">
        <v>525</v>
      </c>
      <c r="G130" s="88" t="s">
        <v>587</v>
      </c>
      <c r="H130" s="88" t="s">
        <v>560</v>
      </c>
      <c r="I130" s="89" t="s">
        <v>18</v>
      </c>
      <c r="J130" s="93" t="s">
        <v>540</v>
      </c>
      <c r="K130" s="30" t="s">
        <v>289</v>
      </c>
      <c r="L130" s="34">
        <f>VLOOKUP($B130,QualitativeNotes!B:C,2,FALSE)</f>
        <v>0</v>
      </c>
    </row>
    <row r="131" spans="1:12" ht="45.75" customHeight="1" x14ac:dyDescent="0.25">
      <c r="A131" s="85">
        <v>45291</v>
      </c>
      <c r="B131" s="86" t="s">
        <v>149</v>
      </c>
      <c r="C131" s="87" t="s">
        <v>126</v>
      </c>
      <c r="D131" s="87" t="s">
        <v>150</v>
      </c>
      <c r="E131" s="87" t="s">
        <v>19</v>
      </c>
      <c r="F131" s="88" t="s">
        <v>525</v>
      </c>
      <c r="G131" s="88" t="s">
        <v>587</v>
      </c>
      <c r="H131" s="88" t="s">
        <v>560</v>
      </c>
      <c r="I131" s="89" t="s">
        <v>18</v>
      </c>
      <c r="J131" s="93" t="s">
        <v>541</v>
      </c>
      <c r="K131" s="30" cm="1">
        <f t="array" ref="K131">VLOOKUP(A131&amp;J131,CHOOSE({1,2},CCPA_DataFile_6_2!$A:$A&amp;CCPA_DataFile_6_2!$D:$D,CCPA_DataFile_6_2!$P:$P),2,0)</f>
        <v>0</v>
      </c>
      <c r="L131" s="34">
        <f>VLOOKUP($B131,QualitativeNotes!B:C,2,FALSE)</f>
        <v>0</v>
      </c>
    </row>
    <row r="132" spans="1:12" ht="45.75" customHeight="1" x14ac:dyDescent="0.25">
      <c r="A132" s="85">
        <v>45291</v>
      </c>
      <c r="B132" s="86" t="s">
        <v>149</v>
      </c>
      <c r="C132" s="87" t="s">
        <v>126</v>
      </c>
      <c r="D132" s="87" t="s">
        <v>150</v>
      </c>
      <c r="E132" s="87" t="s">
        <v>19</v>
      </c>
      <c r="F132" s="88" t="s">
        <v>525</v>
      </c>
      <c r="G132" s="88" t="s">
        <v>587</v>
      </c>
      <c r="H132" s="88" t="s">
        <v>560</v>
      </c>
      <c r="I132" s="89" t="s">
        <v>18</v>
      </c>
      <c r="J132" s="93" t="s">
        <v>542</v>
      </c>
      <c r="K132" s="30" cm="1">
        <f t="array" ref="K132">VLOOKUP(A132&amp;J132,CHOOSE({1,2},CCPA_DataFile_6_2!$A:$A&amp;CCPA_DataFile_6_2!$D:$D,CCPA_DataFile_6_2!$P:$P),2,0)</f>
        <v>0</v>
      </c>
      <c r="L132" s="34">
        <f>VLOOKUP($B132,QualitativeNotes!B:C,2,FALSE)</f>
        <v>0</v>
      </c>
    </row>
    <row r="133" spans="1:12" ht="45.75" customHeight="1" x14ac:dyDescent="0.25">
      <c r="A133" s="85">
        <v>45291</v>
      </c>
      <c r="B133" s="86" t="s">
        <v>151</v>
      </c>
      <c r="C133" s="87" t="s">
        <v>126</v>
      </c>
      <c r="D133" s="87" t="s">
        <v>152</v>
      </c>
      <c r="E133" s="87" t="s">
        <v>19</v>
      </c>
      <c r="F133" s="88" t="s">
        <v>525</v>
      </c>
      <c r="G133" s="88" t="s">
        <v>587</v>
      </c>
      <c r="H133" s="88" t="s">
        <v>560</v>
      </c>
      <c r="I133" s="89" t="s">
        <v>18</v>
      </c>
      <c r="J133" s="93" t="s">
        <v>537</v>
      </c>
      <c r="K133" s="30" t="s">
        <v>289</v>
      </c>
      <c r="L133" s="34">
        <f>VLOOKUP($B133,QualitativeNotes!B:C,2,FALSE)</f>
        <v>0</v>
      </c>
    </row>
    <row r="134" spans="1:12" ht="45.75" customHeight="1" x14ac:dyDescent="0.25">
      <c r="A134" s="85">
        <v>45291</v>
      </c>
      <c r="B134" s="86" t="s">
        <v>151</v>
      </c>
      <c r="C134" s="87" t="s">
        <v>126</v>
      </c>
      <c r="D134" s="87" t="s">
        <v>152</v>
      </c>
      <c r="E134" s="87" t="s">
        <v>19</v>
      </c>
      <c r="F134" s="88" t="s">
        <v>525</v>
      </c>
      <c r="G134" s="88" t="s">
        <v>587</v>
      </c>
      <c r="H134" s="88" t="s">
        <v>560</v>
      </c>
      <c r="I134" s="89" t="s">
        <v>18</v>
      </c>
      <c r="J134" s="93" t="s">
        <v>538</v>
      </c>
      <c r="K134" s="30" t="s">
        <v>289</v>
      </c>
      <c r="L134" s="34">
        <f>VLOOKUP($B134,QualitativeNotes!B:C,2,FALSE)</f>
        <v>0</v>
      </c>
    </row>
    <row r="135" spans="1:12" ht="45.75" customHeight="1" x14ac:dyDescent="0.25">
      <c r="A135" s="85">
        <v>45291</v>
      </c>
      <c r="B135" s="86" t="s">
        <v>151</v>
      </c>
      <c r="C135" s="87" t="s">
        <v>126</v>
      </c>
      <c r="D135" s="87" t="s">
        <v>152</v>
      </c>
      <c r="E135" s="87" t="s">
        <v>19</v>
      </c>
      <c r="F135" s="88" t="s">
        <v>525</v>
      </c>
      <c r="G135" s="88" t="s">
        <v>587</v>
      </c>
      <c r="H135" s="88" t="s">
        <v>560</v>
      </c>
      <c r="I135" s="89" t="s">
        <v>18</v>
      </c>
      <c r="J135" s="93" t="s">
        <v>539</v>
      </c>
      <c r="K135" s="30" t="s">
        <v>289</v>
      </c>
      <c r="L135" s="34">
        <f>VLOOKUP($B135,QualitativeNotes!B:C,2,FALSE)</f>
        <v>0</v>
      </c>
    </row>
    <row r="136" spans="1:12" ht="45.75" customHeight="1" x14ac:dyDescent="0.25">
      <c r="A136" s="85">
        <v>45291</v>
      </c>
      <c r="B136" s="86" t="s">
        <v>151</v>
      </c>
      <c r="C136" s="87" t="s">
        <v>126</v>
      </c>
      <c r="D136" s="87" t="s">
        <v>152</v>
      </c>
      <c r="E136" s="87" t="s">
        <v>19</v>
      </c>
      <c r="F136" s="88" t="s">
        <v>525</v>
      </c>
      <c r="G136" s="88" t="s">
        <v>587</v>
      </c>
      <c r="H136" s="88" t="s">
        <v>560</v>
      </c>
      <c r="I136" s="89" t="s">
        <v>18</v>
      </c>
      <c r="J136" s="93" t="s">
        <v>540</v>
      </c>
      <c r="K136" s="30" t="s">
        <v>289</v>
      </c>
      <c r="L136" s="34">
        <f>VLOOKUP($B136,QualitativeNotes!B:C,2,FALSE)</f>
        <v>0</v>
      </c>
    </row>
    <row r="137" spans="1:12" ht="45.75" customHeight="1" x14ac:dyDescent="0.25">
      <c r="A137" s="85">
        <v>45291</v>
      </c>
      <c r="B137" s="86" t="s">
        <v>151</v>
      </c>
      <c r="C137" s="87" t="s">
        <v>126</v>
      </c>
      <c r="D137" s="87" t="s">
        <v>152</v>
      </c>
      <c r="E137" s="87" t="s">
        <v>19</v>
      </c>
      <c r="F137" s="88" t="s">
        <v>525</v>
      </c>
      <c r="G137" s="88" t="s">
        <v>587</v>
      </c>
      <c r="H137" s="88" t="s">
        <v>560</v>
      </c>
      <c r="I137" s="89" t="s">
        <v>18</v>
      </c>
      <c r="J137" s="93" t="s">
        <v>541</v>
      </c>
      <c r="K137" s="30" cm="1">
        <f t="array" ref="K137">VLOOKUP(A137&amp;J137,CHOOSE({1,2},CCPA_DataFile_6_2!$A:$A&amp;CCPA_DataFile_6_2!$D:$D,CCPA_DataFile_6_2!$Q:$Q),2,0)</f>
        <v>0</v>
      </c>
      <c r="L137" s="34">
        <f>VLOOKUP($B137,QualitativeNotes!B:C,2,FALSE)</f>
        <v>0</v>
      </c>
    </row>
    <row r="138" spans="1:12" ht="45.75" customHeight="1" x14ac:dyDescent="0.25">
      <c r="A138" s="85">
        <v>45291</v>
      </c>
      <c r="B138" s="86" t="s">
        <v>151</v>
      </c>
      <c r="C138" s="87" t="s">
        <v>126</v>
      </c>
      <c r="D138" s="87" t="s">
        <v>152</v>
      </c>
      <c r="E138" s="87" t="s">
        <v>19</v>
      </c>
      <c r="F138" s="88" t="s">
        <v>525</v>
      </c>
      <c r="G138" s="88" t="s">
        <v>587</v>
      </c>
      <c r="H138" s="88" t="s">
        <v>560</v>
      </c>
      <c r="I138" s="89" t="s">
        <v>18</v>
      </c>
      <c r="J138" s="93" t="s">
        <v>542</v>
      </c>
      <c r="K138" s="30" cm="1">
        <f t="array" ref="K138">VLOOKUP(A138&amp;J138,CHOOSE({1,2},CCPA_DataFile_6_2!$A:$A&amp;CCPA_DataFile_6_2!$D:$D,CCPA_DataFile_6_2!$Q:$Q),2,0)</f>
        <v>0</v>
      </c>
      <c r="L138" s="34">
        <f>VLOOKUP($B138,QualitativeNotes!B:C,2,FALSE)</f>
        <v>0</v>
      </c>
    </row>
    <row r="139" spans="1:12" ht="45.75" customHeight="1" x14ac:dyDescent="0.25">
      <c r="A139" s="85">
        <v>45291</v>
      </c>
      <c r="B139" s="86" t="s">
        <v>153</v>
      </c>
      <c r="C139" s="87" t="s">
        <v>126</v>
      </c>
      <c r="D139" s="87" t="s">
        <v>154</v>
      </c>
      <c r="E139" s="87" t="s">
        <v>19</v>
      </c>
      <c r="F139" s="88" t="s">
        <v>525</v>
      </c>
      <c r="G139" s="88" t="s">
        <v>587</v>
      </c>
      <c r="H139" s="88" t="s">
        <v>560</v>
      </c>
      <c r="I139" s="89" t="s">
        <v>18</v>
      </c>
      <c r="J139" s="93" t="s">
        <v>537</v>
      </c>
      <c r="K139" s="30" t="s">
        <v>289</v>
      </c>
      <c r="L139" s="34">
        <f>VLOOKUP($B139,QualitativeNotes!B:C,2,FALSE)</f>
        <v>0</v>
      </c>
    </row>
    <row r="140" spans="1:12" ht="45.75" customHeight="1" x14ac:dyDescent="0.25">
      <c r="A140" s="85">
        <v>45291</v>
      </c>
      <c r="B140" s="86" t="s">
        <v>153</v>
      </c>
      <c r="C140" s="87" t="s">
        <v>126</v>
      </c>
      <c r="D140" s="87" t="s">
        <v>154</v>
      </c>
      <c r="E140" s="87" t="s">
        <v>19</v>
      </c>
      <c r="F140" s="88" t="s">
        <v>525</v>
      </c>
      <c r="G140" s="88" t="s">
        <v>587</v>
      </c>
      <c r="H140" s="88" t="s">
        <v>560</v>
      </c>
      <c r="I140" s="89" t="s">
        <v>18</v>
      </c>
      <c r="J140" s="93" t="s">
        <v>538</v>
      </c>
      <c r="K140" s="30" t="s">
        <v>289</v>
      </c>
      <c r="L140" s="34">
        <f>VLOOKUP($B140,QualitativeNotes!B:C,2,FALSE)</f>
        <v>0</v>
      </c>
    </row>
    <row r="141" spans="1:12" ht="45.75" customHeight="1" x14ac:dyDescent="0.25">
      <c r="A141" s="85">
        <v>45291</v>
      </c>
      <c r="B141" s="86" t="s">
        <v>153</v>
      </c>
      <c r="C141" s="87" t="s">
        <v>126</v>
      </c>
      <c r="D141" s="87" t="s">
        <v>154</v>
      </c>
      <c r="E141" s="87" t="s">
        <v>19</v>
      </c>
      <c r="F141" s="88" t="s">
        <v>525</v>
      </c>
      <c r="G141" s="88" t="s">
        <v>587</v>
      </c>
      <c r="H141" s="88" t="s">
        <v>560</v>
      </c>
      <c r="I141" s="89" t="s">
        <v>18</v>
      </c>
      <c r="J141" s="93" t="s">
        <v>539</v>
      </c>
      <c r="K141" s="30" t="s">
        <v>289</v>
      </c>
      <c r="L141" s="34">
        <f>VLOOKUP($B141,QualitativeNotes!B:C,2,FALSE)</f>
        <v>0</v>
      </c>
    </row>
    <row r="142" spans="1:12" ht="45.75" customHeight="1" x14ac:dyDescent="0.25">
      <c r="A142" s="85">
        <v>45291</v>
      </c>
      <c r="B142" s="86" t="s">
        <v>153</v>
      </c>
      <c r="C142" s="87" t="s">
        <v>126</v>
      </c>
      <c r="D142" s="87" t="s">
        <v>154</v>
      </c>
      <c r="E142" s="87" t="s">
        <v>19</v>
      </c>
      <c r="F142" s="88" t="s">
        <v>525</v>
      </c>
      <c r="G142" s="88" t="s">
        <v>587</v>
      </c>
      <c r="H142" s="88" t="s">
        <v>560</v>
      </c>
      <c r="I142" s="89" t="s">
        <v>18</v>
      </c>
      <c r="J142" s="93" t="s">
        <v>540</v>
      </c>
      <c r="K142" s="30" t="s">
        <v>289</v>
      </c>
      <c r="L142" s="34">
        <f>VLOOKUP($B142,QualitativeNotes!B:C,2,FALSE)</f>
        <v>0</v>
      </c>
    </row>
    <row r="143" spans="1:12" ht="45.75" customHeight="1" x14ac:dyDescent="0.25">
      <c r="A143" s="85">
        <v>45291</v>
      </c>
      <c r="B143" s="86" t="s">
        <v>153</v>
      </c>
      <c r="C143" s="87" t="s">
        <v>126</v>
      </c>
      <c r="D143" s="87" t="s">
        <v>154</v>
      </c>
      <c r="E143" s="87" t="s">
        <v>19</v>
      </c>
      <c r="F143" s="88" t="s">
        <v>525</v>
      </c>
      <c r="G143" s="88" t="s">
        <v>587</v>
      </c>
      <c r="H143" s="88" t="s">
        <v>560</v>
      </c>
      <c r="I143" s="89" t="s">
        <v>18</v>
      </c>
      <c r="J143" s="93" t="s">
        <v>541</v>
      </c>
      <c r="K143" s="30" cm="1">
        <f t="array" ref="K143">VLOOKUP(A143&amp;J143,CHOOSE({1,2},CCPA_DataFile_6_2!$A:$A&amp;CCPA_DataFile_6_2!$D:$D,CCPA_DataFile_6_2!$R:$R),2,0)</f>
        <v>0</v>
      </c>
      <c r="L143" s="34">
        <f>VLOOKUP($B143,QualitativeNotes!B:C,2,FALSE)</f>
        <v>0</v>
      </c>
    </row>
    <row r="144" spans="1:12" ht="45.75" customHeight="1" x14ac:dyDescent="0.25">
      <c r="A144" s="85">
        <v>45291</v>
      </c>
      <c r="B144" s="86" t="s">
        <v>153</v>
      </c>
      <c r="C144" s="87" t="s">
        <v>126</v>
      </c>
      <c r="D144" s="87" t="s">
        <v>154</v>
      </c>
      <c r="E144" s="87" t="s">
        <v>19</v>
      </c>
      <c r="F144" s="88" t="s">
        <v>525</v>
      </c>
      <c r="G144" s="88" t="s">
        <v>587</v>
      </c>
      <c r="H144" s="88" t="s">
        <v>560</v>
      </c>
      <c r="I144" s="89" t="s">
        <v>18</v>
      </c>
      <c r="J144" s="93" t="s">
        <v>542</v>
      </c>
      <c r="K144" s="30" cm="1">
        <f t="array" ref="K144">VLOOKUP(A144&amp;J144,CHOOSE({1,2},CCPA_DataFile_6_2!$A:$A&amp;CCPA_DataFile_6_2!$D:$D,CCPA_DataFile_6_2!$R:$R),2,0)</f>
        <v>0</v>
      </c>
      <c r="L144" s="34">
        <f>VLOOKUP($B144,QualitativeNotes!B:C,2,FALSE)</f>
        <v>0</v>
      </c>
    </row>
    <row r="145" spans="1:12" ht="45.75" customHeight="1" x14ac:dyDescent="0.25">
      <c r="A145" s="85">
        <v>45291</v>
      </c>
      <c r="B145" s="86" t="s">
        <v>155</v>
      </c>
      <c r="C145" s="87" t="s">
        <v>126</v>
      </c>
      <c r="D145" s="87" t="s">
        <v>156</v>
      </c>
      <c r="E145" s="87" t="s">
        <v>19</v>
      </c>
      <c r="F145" s="88" t="s">
        <v>525</v>
      </c>
      <c r="G145" s="88" t="s">
        <v>587</v>
      </c>
      <c r="H145" s="88" t="s">
        <v>560</v>
      </c>
      <c r="I145" s="89" t="s">
        <v>18</v>
      </c>
      <c r="J145" s="93" t="s">
        <v>537</v>
      </c>
      <c r="K145" s="30" t="s">
        <v>289</v>
      </c>
      <c r="L145" s="34">
        <f>VLOOKUP($B145,QualitativeNotes!B:C,2,FALSE)</f>
        <v>0</v>
      </c>
    </row>
    <row r="146" spans="1:12" ht="45.75" customHeight="1" x14ac:dyDescent="0.25">
      <c r="A146" s="85">
        <v>45291</v>
      </c>
      <c r="B146" s="86" t="s">
        <v>155</v>
      </c>
      <c r="C146" s="87" t="s">
        <v>126</v>
      </c>
      <c r="D146" s="87" t="s">
        <v>156</v>
      </c>
      <c r="E146" s="87" t="s">
        <v>19</v>
      </c>
      <c r="F146" s="88" t="s">
        <v>525</v>
      </c>
      <c r="G146" s="88" t="s">
        <v>587</v>
      </c>
      <c r="H146" s="88" t="s">
        <v>560</v>
      </c>
      <c r="I146" s="89" t="s">
        <v>18</v>
      </c>
      <c r="J146" s="93" t="s">
        <v>538</v>
      </c>
      <c r="K146" s="30" t="s">
        <v>289</v>
      </c>
      <c r="L146" s="34">
        <f>VLOOKUP($B146,QualitativeNotes!B:C,2,FALSE)</f>
        <v>0</v>
      </c>
    </row>
    <row r="147" spans="1:12" ht="45.75" customHeight="1" x14ac:dyDescent="0.25">
      <c r="A147" s="85">
        <v>45291</v>
      </c>
      <c r="B147" s="86" t="s">
        <v>155</v>
      </c>
      <c r="C147" s="87" t="s">
        <v>126</v>
      </c>
      <c r="D147" s="87" t="s">
        <v>156</v>
      </c>
      <c r="E147" s="87" t="s">
        <v>19</v>
      </c>
      <c r="F147" s="88" t="s">
        <v>525</v>
      </c>
      <c r="G147" s="88" t="s">
        <v>587</v>
      </c>
      <c r="H147" s="88" t="s">
        <v>560</v>
      </c>
      <c r="I147" s="89" t="s">
        <v>18</v>
      </c>
      <c r="J147" s="93" t="s">
        <v>539</v>
      </c>
      <c r="K147" s="30" t="s">
        <v>289</v>
      </c>
      <c r="L147" s="34">
        <f>VLOOKUP($B147,QualitativeNotes!B:C,2,FALSE)</f>
        <v>0</v>
      </c>
    </row>
    <row r="148" spans="1:12" ht="45.75" customHeight="1" x14ac:dyDescent="0.25">
      <c r="A148" s="85">
        <v>45291</v>
      </c>
      <c r="B148" s="86" t="s">
        <v>155</v>
      </c>
      <c r="C148" s="87" t="s">
        <v>126</v>
      </c>
      <c r="D148" s="87" t="s">
        <v>156</v>
      </c>
      <c r="E148" s="87" t="s">
        <v>19</v>
      </c>
      <c r="F148" s="88" t="s">
        <v>525</v>
      </c>
      <c r="G148" s="88" t="s">
        <v>587</v>
      </c>
      <c r="H148" s="88" t="s">
        <v>560</v>
      </c>
      <c r="I148" s="89" t="s">
        <v>18</v>
      </c>
      <c r="J148" s="93" t="s">
        <v>540</v>
      </c>
      <c r="K148" s="30" t="s">
        <v>289</v>
      </c>
      <c r="L148" s="34">
        <f>VLOOKUP($B148,QualitativeNotes!B:C,2,FALSE)</f>
        <v>0</v>
      </c>
    </row>
    <row r="149" spans="1:12" ht="45.75" customHeight="1" x14ac:dyDescent="0.25">
      <c r="A149" s="85">
        <v>45291</v>
      </c>
      <c r="B149" s="86" t="s">
        <v>155</v>
      </c>
      <c r="C149" s="87" t="s">
        <v>126</v>
      </c>
      <c r="D149" s="87" t="s">
        <v>156</v>
      </c>
      <c r="E149" s="87" t="s">
        <v>19</v>
      </c>
      <c r="F149" s="88" t="s">
        <v>525</v>
      </c>
      <c r="G149" s="88" t="s">
        <v>587</v>
      </c>
      <c r="H149" s="88" t="s">
        <v>560</v>
      </c>
      <c r="I149" s="89" t="s">
        <v>18</v>
      </c>
      <c r="J149" s="93" t="s">
        <v>541</v>
      </c>
      <c r="K149" s="30" cm="1">
        <f t="array" ref="K149">VLOOKUP(A149&amp;J149,CHOOSE({1,2},CCPA_DataFile_6_2!$A:$A&amp;CCPA_DataFile_6_2!$D:$D,CCPA_DataFile_6_2!$S:$S),2,0)</f>
        <v>2838880</v>
      </c>
      <c r="L149" s="34">
        <f>VLOOKUP($B149,QualitativeNotes!B:C,2,FALSE)</f>
        <v>0</v>
      </c>
    </row>
    <row r="150" spans="1:12" ht="45.75" customHeight="1" x14ac:dyDescent="0.25">
      <c r="A150" s="85">
        <v>45291</v>
      </c>
      <c r="B150" s="86" t="s">
        <v>155</v>
      </c>
      <c r="C150" s="87" t="s">
        <v>126</v>
      </c>
      <c r="D150" s="87" t="s">
        <v>156</v>
      </c>
      <c r="E150" s="87" t="s">
        <v>19</v>
      </c>
      <c r="F150" s="88" t="s">
        <v>525</v>
      </c>
      <c r="G150" s="88" t="s">
        <v>587</v>
      </c>
      <c r="H150" s="88" t="s">
        <v>560</v>
      </c>
      <c r="I150" s="89" t="s">
        <v>18</v>
      </c>
      <c r="J150" s="93" t="s">
        <v>542</v>
      </c>
      <c r="K150" s="30" cm="1">
        <f t="array" ref="K150">VLOOKUP(A150&amp;J150,CHOOSE({1,2},CCPA_DataFile_6_2!$A:$A&amp;CCPA_DataFile_6_2!$D:$D,CCPA_DataFile_6_2!$S:$S),2,0)</f>
        <v>3226000</v>
      </c>
      <c r="L150" s="34">
        <f>VLOOKUP($B150,QualitativeNotes!B:C,2,FALSE)</f>
        <v>0</v>
      </c>
    </row>
    <row r="151" spans="1:12" ht="45" x14ac:dyDescent="0.25">
      <c r="A151" s="85">
        <v>45291</v>
      </c>
      <c r="B151" s="86" t="s">
        <v>157</v>
      </c>
      <c r="C151" s="87" t="s">
        <v>126</v>
      </c>
      <c r="D151" s="87" t="s">
        <v>158</v>
      </c>
      <c r="E151" s="87" t="s">
        <v>19</v>
      </c>
      <c r="F151" s="88" t="s">
        <v>525</v>
      </c>
      <c r="G151" s="88" t="s">
        <v>587</v>
      </c>
      <c r="H151" s="88" t="s">
        <v>560</v>
      </c>
      <c r="I151" s="89" t="s">
        <v>18</v>
      </c>
      <c r="J151" s="93" t="s">
        <v>537</v>
      </c>
      <c r="K151" s="30" t="s">
        <v>289</v>
      </c>
      <c r="L151" s="34">
        <f>VLOOKUP($B151,QualitativeNotes!B:C,2,FALSE)</f>
        <v>0</v>
      </c>
    </row>
    <row r="152" spans="1:12" ht="45" x14ac:dyDescent="0.25">
      <c r="A152" s="85">
        <v>45291</v>
      </c>
      <c r="B152" s="86" t="s">
        <v>157</v>
      </c>
      <c r="C152" s="87" t="s">
        <v>126</v>
      </c>
      <c r="D152" s="87" t="s">
        <v>158</v>
      </c>
      <c r="E152" s="87" t="s">
        <v>19</v>
      </c>
      <c r="F152" s="88" t="s">
        <v>525</v>
      </c>
      <c r="G152" s="88" t="s">
        <v>587</v>
      </c>
      <c r="H152" s="88" t="s">
        <v>560</v>
      </c>
      <c r="I152" s="89" t="s">
        <v>18</v>
      </c>
      <c r="J152" s="93" t="s">
        <v>538</v>
      </c>
      <c r="K152" s="30" t="s">
        <v>289</v>
      </c>
      <c r="L152" s="34">
        <f>VLOOKUP($B152,QualitativeNotes!B:C,2,FALSE)</f>
        <v>0</v>
      </c>
    </row>
    <row r="153" spans="1:12" ht="45" x14ac:dyDescent="0.25">
      <c r="A153" s="85">
        <v>45291</v>
      </c>
      <c r="B153" s="86" t="s">
        <v>157</v>
      </c>
      <c r="C153" s="87" t="s">
        <v>126</v>
      </c>
      <c r="D153" s="87" t="s">
        <v>158</v>
      </c>
      <c r="E153" s="87" t="s">
        <v>19</v>
      </c>
      <c r="F153" s="88" t="s">
        <v>525</v>
      </c>
      <c r="G153" s="88" t="s">
        <v>587</v>
      </c>
      <c r="H153" s="88" t="s">
        <v>560</v>
      </c>
      <c r="I153" s="89" t="s">
        <v>18</v>
      </c>
      <c r="J153" s="93" t="s">
        <v>539</v>
      </c>
      <c r="K153" s="30" t="s">
        <v>289</v>
      </c>
      <c r="L153" s="34">
        <f>VLOOKUP($B153,QualitativeNotes!B:C,2,FALSE)</f>
        <v>0</v>
      </c>
    </row>
    <row r="154" spans="1:12" ht="45" x14ac:dyDescent="0.25">
      <c r="A154" s="85">
        <v>45291</v>
      </c>
      <c r="B154" s="86" t="s">
        <v>157</v>
      </c>
      <c r="C154" s="87" t="s">
        <v>126</v>
      </c>
      <c r="D154" s="87" t="s">
        <v>158</v>
      </c>
      <c r="E154" s="87" t="s">
        <v>19</v>
      </c>
      <c r="F154" s="88" t="s">
        <v>525</v>
      </c>
      <c r="G154" s="88" t="s">
        <v>587</v>
      </c>
      <c r="H154" s="88" t="s">
        <v>560</v>
      </c>
      <c r="I154" s="89" t="s">
        <v>18</v>
      </c>
      <c r="J154" s="93" t="s">
        <v>540</v>
      </c>
      <c r="K154" s="30" t="s">
        <v>289</v>
      </c>
      <c r="L154" s="34">
        <f>VLOOKUP($B154,QualitativeNotes!B:C,2,FALSE)</f>
        <v>0</v>
      </c>
    </row>
    <row r="155" spans="1:12" ht="45" x14ac:dyDescent="0.25">
      <c r="A155" s="85">
        <v>45291</v>
      </c>
      <c r="B155" s="86" t="s">
        <v>157</v>
      </c>
      <c r="C155" s="87" t="s">
        <v>126</v>
      </c>
      <c r="D155" s="87" t="s">
        <v>158</v>
      </c>
      <c r="E155" s="87" t="s">
        <v>19</v>
      </c>
      <c r="F155" s="88" t="s">
        <v>525</v>
      </c>
      <c r="G155" s="88" t="s">
        <v>587</v>
      </c>
      <c r="H155" s="88" t="s">
        <v>560</v>
      </c>
      <c r="I155" s="89" t="s">
        <v>18</v>
      </c>
      <c r="J155" s="93" t="s">
        <v>541</v>
      </c>
      <c r="K155" s="30" cm="1">
        <f t="array" ref="K155">VLOOKUP(A155&amp;J155,CHOOSE({1,2},CCPA_DataFile_6_2!$A:$A&amp;CCPA_DataFile_6_2!$D:$D,CCPA_DataFile_6_2!$T:$T),2,0)</f>
        <v>123515203.16000001</v>
      </c>
      <c r="L155" s="34">
        <f>VLOOKUP($B155,QualitativeNotes!B:C,2,FALSE)</f>
        <v>0</v>
      </c>
    </row>
    <row r="156" spans="1:12" ht="45" x14ac:dyDescent="0.25">
      <c r="A156" s="85">
        <v>45291</v>
      </c>
      <c r="B156" s="86" t="s">
        <v>157</v>
      </c>
      <c r="C156" s="87" t="s">
        <v>126</v>
      </c>
      <c r="D156" s="87" t="s">
        <v>158</v>
      </c>
      <c r="E156" s="87" t="s">
        <v>19</v>
      </c>
      <c r="F156" s="88" t="s">
        <v>525</v>
      </c>
      <c r="G156" s="88" t="s">
        <v>587</v>
      </c>
      <c r="H156" s="88" t="s">
        <v>560</v>
      </c>
      <c r="I156" s="89" t="s">
        <v>18</v>
      </c>
      <c r="J156" s="93" t="s">
        <v>542</v>
      </c>
      <c r="K156" s="30" cm="1">
        <f t="array" ref="K156">VLOOKUP(A156&amp;J156,CHOOSE({1,2},CCPA_DataFile_6_2!$A:$A&amp;CCPA_DataFile_6_2!$D:$D,CCPA_DataFile_6_2!$T:$T),2,0)</f>
        <v>125337017.16000001</v>
      </c>
      <c r="L156" s="34">
        <f>VLOOKUP($B156,QualitativeNotes!B:C,2,FALSE)</f>
        <v>0</v>
      </c>
    </row>
    <row r="157" spans="1:12" ht="91.5" customHeight="1" x14ac:dyDescent="0.25">
      <c r="A157" s="85">
        <v>45291</v>
      </c>
      <c r="B157" s="86" t="s">
        <v>161</v>
      </c>
      <c r="C157" s="87" t="s">
        <v>160</v>
      </c>
      <c r="D157" s="87" t="s">
        <v>162</v>
      </c>
      <c r="E157" s="87" t="s">
        <v>4</v>
      </c>
      <c r="F157" s="88" t="s">
        <v>543</v>
      </c>
      <c r="G157" s="88" t="s">
        <v>587</v>
      </c>
      <c r="H157" s="88" t="s">
        <v>560</v>
      </c>
      <c r="I157" s="89" t="s">
        <v>18</v>
      </c>
      <c r="J157" s="93"/>
      <c r="K157" s="17" t="str">
        <f>VLOOKUP(A157,CCPA_AggregateDataFile!$A:$DU,26,0)</f>
        <v>https://www.ccpa.at/risikomanagement-wertpapierabwicklung/berechnung-der-marginhoehe/risk-faktoren/</v>
      </c>
      <c r="L157" s="34">
        <f>VLOOKUP($B157,QualitativeNotes!B:C,2,FALSE)</f>
        <v>0</v>
      </c>
    </row>
    <row r="158" spans="1:12" ht="107.25" customHeight="1" x14ac:dyDescent="0.25">
      <c r="A158" s="85">
        <v>45291</v>
      </c>
      <c r="B158" s="86" t="s">
        <v>164</v>
      </c>
      <c r="C158" s="87" t="s">
        <v>163</v>
      </c>
      <c r="D158" s="87" t="s">
        <v>165</v>
      </c>
      <c r="E158" s="87" t="s">
        <v>4</v>
      </c>
      <c r="F158" s="88" t="s">
        <v>543</v>
      </c>
      <c r="G158" s="88" t="s">
        <v>587</v>
      </c>
      <c r="H158" s="88" t="s">
        <v>560</v>
      </c>
      <c r="I158" s="89" t="s">
        <v>18</v>
      </c>
      <c r="J158" s="93"/>
      <c r="K158" s="17" t="str">
        <f>VLOOKUP(A158,CCPA_AggregateDataFile!$A:$DU,27,0)</f>
        <v xml:space="preserve">Risk Based Margining </v>
      </c>
      <c r="L158" s="34">
        <f>VLOOKUP($B158,QualitativeNotes!B:C,2,FALSE)</f>
        <v>0</v>
      </c>
    </row>
    <row r="159" spans="1:12" ht="107.25" customHeight="1" x14ac:dyDescent="0.25">
      <c r="A159" s="85">
        <v>45291</v>
      </c>
      <c r="B159" s="86" t="s">
        <v>166</v>
      </c>
      <c r="C159" s="87" t="s">
        <v>163</v>
      </c>
      <c r="D159" s="87" t="s">
        <v>167</v>
      </c>
      <c r="E159" s="87" t="s">
        <v>168</v>
      </c>
      <c r="F159" s="88" t="s">
        <v>543</v>
      </c>
      <c r="G159" s="88" t="s">
        <v>587</v>
      </c>
      <c r="H159" s="88" t="s">
        <v>560</v>
      </c>
      <c r="I159" s="89" t="s">
        <v>18</v>
      </c>
      <c r="J159" s="93"/>
      <c r="K159" s="32" t="str">
        <f>VLOOKUP(A159,CCPA_AggregateDataFile!$A:$DU,28,0)</f>
        <v>n/a</v>
      </c>
      <c r="L159" s="34">
        <f>VLOOKUP($B159,QualitativeNotes!B:C,2,FALSE)</f>
        <v>0</v>
      </c>
    </row>
    <row r="160" spans="1:12" ht="107.25" customHeight="1" x14ac:dyDescent="0.25">
      <c r="A160" s="85">
        <v>45291</v>
      </c>
      <c r="B160" s="86" t="s">
        <v>169</v>
      </c>
      <c r="C160" s="87" t="s">
        <v>163</v>
      </c>
      <c r="D160" s="87" t="s">
        <v>170</v>
      </c>
      <c r="E160" s="87" t="s">
        <v>4</v>
      </c>
      <c r="F160" s="88" t="s">
        <v>543</v>
      </c>
      <c r="G160" s="88" t="s">
        <v>587</v>
      </c>
      <c r="H160" s="88" t="s">
        <v>560</v>
      </c>
      <c r="I160" s="89" t="s">
        <v>18</v>
      </c>
      <c r="J160" s="93"/>
      <c r="K160" s="17" t="str">
        <f>VLOOKUP(A160,CCPA_AggregateDataFile!$A:$DU,29,0)</f>
        <v xml:space="preserve">Risk Based Margining </v>
      </c>
      <c r="L160" s="34">
        <f>VLOOKUP($B160,QualitativeNotes!B:C,2,FALSE)</f>
        <v>0</v>
      </c>
    </row>
    <row r="161" spans="1:12" ht="107.25" customHeight="1" x14ac:dyDescent="0.25">
      <c r="A161" s="85">
        <v>45291</v>
      </c>
      <c r="B161" s="86" t="s">
        <v>171</v>
      </c>
      <c r="C161" s="87" t="s">
        <v>163</v>
      </c>
      <c r="D161" s="87" t="s">
        <v>172</v>
      </c>
      <c r="E161" s="87" t="s">
        <v>168</v>
      </c>
      <c r="F161" s="88" t="s">
        <v>543</v>
      </c>
      <c r="G161" s="88" t="s">
        <v>587</v>
      </c>
      <c r="H161" s="88" t="s">
        <v>560</v>
      </c>
      <c r="I161" s="89" t="s">
        <v>18</v>
      </c>
      <c r="J161" s="93"/>
      <c r="K161" s="32" t="str">
        <f>VLOOKUP(A161,CCPA_AggregateDataFile!$A:$DU,30,0)</f>
        <v>n/a</v>
      </c>
      <c r="L161" s="34">
        <f>VLOOKUP($B161,QualitativeNotes!B:C,2,FALSE)</f>
        <v>0</v>
      </c>
    </row>
    <row r="162" spans="1:12" ht="107.25" customHeight="1" x14ac:dyDescent="0.25">
      <c r="A162" s="85">
        <v>45291</v>
      </c>
      <c r="B162" s="86" t="s">
        <v>173</v>
      </c>
      <c r="C162" s="87" t="s">
        <v>163</v>
      </c>
      <c r="D162" s="87" t="s">
        <v>174</v>
      </c>
      <c r="E162" s="87" t="s">
        <v>113</v>
      </c>
      <c r="F162" s="88" t="s">
        <v>543</v>
      </c>
      <c r="G162" s="88" t="s">
        <v>587</v>
      </c>
      <c r="H162" s="88" t="s">
        <v>560</v>
      </c>
      <c r="I162" s="89" t="s">
        <v>18</v>
      </c>
      <c r="J162" s="93"/>
      <c r="K162" s="33">
        <f>VLOOKUP(A162,CCPA_AggregateDataFile!$A:$DU,31,0)</f>
        <v>0.99</v>
      </c>
      <c r="L162" s="34">
        <f>VLOOKUP($B162,QualitativeNotes!B:C,2,FALSE)</f>
        <v>0</v>
      </c>
    </row>
    <row r="163" spans="1:12" ht="107.25" customHeight="1" x14ac:dyDescent="0.25">
      <c r="A163" s="85">
        <v>45291</v>
      </c>
      <c r="B163" s="86" t="s">
        <v>175</v>
      </c>
      <c r="C163" s="87" t="s">
        <v>163</v>
      </c>
      <c r="D163" s="87" t="s">
        <v>176</v>
      </c>
      <c r="E163" s="87" t="s">
        <v>168</v>
      </c>
      <c r="F163" s="88" t="s">
        <v>543</v>
      </c>
      <c r="G163" s="88" t="s">
        <v>587</v>
      </c>
      <c r="H163" s="88" t="s">
        <v>560</v>
      </c>
      <c r="I163" s="89" t="s">
        <v>18</v>
      </c>
      <c r="J163" s="93"/>
      <c r="K163" s="32" t="str">
        <f>VLOOKUP(A163,CCPA_AggregateDataFile!$A:$DU,32,0)</f>
        <v>n/a</v>
      </c>
      <c r="L163" s="34">
        <f>VLOOKUP($B163,QualitativeNotes!B:C,2,FALSE)</f>
        <v>0</v>
      </c>
    </row>
    <row r="164" spans="1:12" ht="107.25" customHeight="1" x14ac:dyDescent="0.25">
      <c r="A164" s="85">
        <v>45291</v>
      </c>
      <c r="B164" s="86" t="s">
        <v>177</v>
      </c>
      <c r="C164" s="87" t="s">
        <v>163</v>
      </c>
      <c r="D164" s="87" t="s">
        <v>178</v>
      </c>
      <c r="E164" s="87" t="s">
        <v>4</v>
      </c>
      <c r="F164" s="88" t="s">
        <v>543</v>
      </c>
      <c r="G164" s="88" t="s">
        <v>587</v>
      </c>
      <c r="H164" s="88" t="s">
        <v>560</v>
      </c>
      <c r="I164" s="89" t="s">
        <v>18</v>
      </c>
      <c r="J164" s="93"/>
      <c r="K164" s="17" t="str">
        <f>VLOOKUP(A164,CCPA_AggregateDataFile!$A:$DU,33,0)</f>
        <v xml:space="preserve">600 Days/ 1 year </v>
      </c>
      <c r="L164" s="34">
        <f>VLOOKUP($B164,QualitativeNotes!B:C,2,FALSE)</f>
        <v>0</v>
      </c>
    </row>
    <row r="165" spans="1:12" ht="107.25" customHeight="1" x14ac:dyDescent="0.25">
      <c r="A165" s="85">
        <v>45291</v>
      </c>
      <c r="B165" s="86" t="s">
        <v>179</v>
      </c>
      <c r="C165" s="87" t="s">
        <v>163</v>
      </c>
      <c r="D165" s="87" t="s">
        <v>180</v>
      </c>
      <c r="E165" s="87" t="s">
        <v>168</v>
      </c>
      <c r="F165" s="88" t="s">
        <v>543</v>
      </c>
      <c r="G165" s="88" t="s">
        <v>587</v>
      </c>
      <c r="H165" s="88" t="s">
        <v>560</v>
      </c>
      <c r="I165" s="89" t="s">
        <v>18</v>
      </c>
      <c r="J165" s="93"/>
      <c r="K165" s="32" t="str">
        <f>VLOOKUP(A165,CCPA_AggregateDataFile!$A:$DU,34,0)</f>
        <v>n/a</v>
      </c>
      <c r="L165" s="34">
        <f>VLOOKUP($B165,QualitativeNotes!B:C,2,FALSE)</f>
        <v>0</v>
      </c>
    </row>
    <row r="166" spans="1:12" ht="107.25" customHeight="1" x14ac:dyDescent="0.25">
      <c r="A166" s="85">
        <v>45291</v>
      </c>
      <c r="B166" s="86" t="s">
        <v>181</v>
      </c>
      <c r="C166" s="87" t="s">
        <v>163</v>
      </c>
      <c r="D166" s="87" t="s">
        <v>182</v>
      </c>
      <c r="E166" s="87" t="s">
        <v>4</v>
      </c>
      <c r="F166" s="88" t="s">
        <v>543</v>
      </c>
      <c r="G166" s="88" t="s">
        <v>587</v>
      </c>
      <c r="H166" s="88" t="s">
        <v>560</v>
      </c>
      <c r="I166" s="89" t="s">
        <v>18</v>
      </c>
      <c r="J166" s="93"/>
      <c r="K166" s="17" t="str">
        <f>VLOOKUP(A166,CCPA_AggregateDataFile!$A:$DU,35,0)</f>
        <v>n/a</v>
      </c>
      <c r="L166" s="34">
        <f>VLOOKUP($B166,QualitativeNotes!B:C,2,FALSE)</f>
        <v>0</v>
      </c>
    </row>
    <row r="167" spans="1:12" ht="107.25" customHeight="1" x14ac:dyDescent="0.25">
      <c r="A167" s="85">
        <v>45291</v>
      </c>
      <c r="B167" s="86" t="s">
        <v>183</v>
      </c>
      <c r="C167" s="87" t="s">
        <v>163</v>
      </c>
      <c r="D167" s="87" t="s">
        <v>184</v>
      </c>
      <c r="E167" s="87" t="s">
        <v>168</v>
      </c>
      <c r="F167" s="88" t="s">
        <v>543</v>
      </c>
      <c r="G167" s="88" t="s">
        <v>587</v>
      </c>
      <c r="H167" s="88" t="s">
        <v>560</v>
      </c>
      <c r="I167" s="89" t="s">
        <v>18</v>
      </c>
      <c r="J167" s="93"/>
      <c r="K167" s="32" t="str">
        <f>VLOOKUP(A167,CCPA_AggregateDataFile!$A:$DU,36,0)</f>
        <v>n/a</v>
      </c>
      <c r="L167" s="34">
        <f>VLOOKUP($B167,QualitativeNotes!B:C,2,FALSE)</f>
        <v>0</v>
      </c>
    </row>
    <row r="168" spans="1:12" ht="107.25" customHeight="1" x14ac:dyDescent="0.25">
      <c r="A168" s="85">
        <v>45291</v>
      </c>
      <c r="B168" s="86" t="s">
        <v>185</v>
      </c>
      <c r="C168" s="87" t="s">
        <v>163</v>
      </c>
      <c r="D168" s="87" t="s">
        <v>186</v>
      </c>
      <c r="E168" s="87" t="s">
        <v>4</v>
      </c>
      <c r="F168" s="88" t="s">
        <v>543</v>
      </c>
      <c r="G168" s="88" t="s">
        <v>587</v>
      </c>
      <c r="H168" s="88" t="s">
        <v>560</v>
      </c>
      <c r="I168" s="89" t="s">
        <v>18</v>
      </c>
      <c r="J168" s="93"/>
      <c r="K168" s="17" t="str">
        <f>VLOOKUP(A168,CCPA_AggregateDataFile!$A:$DU,37,0)</f>
        <v>3 days</v>
      </c>
      <c r="L168" s="34">
        <f>VLOOKUP($B168,QualitativeNotes!B:C,2,FALSE)</f>
        <v>0</v>
      </c>
    </row>
    <row r="169" spans="1:12" ht="107.25" customHeight="1" x14ac:dyDescent="0.25">
      <c r="A169" s="85">
        <v>45291</v>
      </c>
      <c r="B169" s="86" t="s">
        <v>187</v>
      </c>
      <c r="C169" s="87" t="s">
        <v>163</v>
      </c>
      <c r="D169" s="87" t="s">
        <v>188</v>
      </c>
      <c r="E169" s="87" t="s">
        <v>168</v>
      </c>
      <c r="F169" s="88" t="s">
        <v>543</v>
      </c>
      <c r="G169" s="88" t="s">
        <v>587</v>
      </c>
      <c r="H169" s="88" t="s">
        <v>560</v>
      </c>
      <c r="I169" s="89" t="s">
        <v>18</v>
      </c>
      <c r="J169" s="93"/>
      <c r="K169" s="32" t="str">
        <f>VLOOKUP(A169,CCPA_AggregateDataFile!$A:$DU,38,0)</f>
        <v>n/a</v>
      </c>
      <c r="L169" s="34">
        <f>VLOOKUP($B169,QualitativeNotes!B:C,2,FALSE)</f>
        <v>0</v>
      </c>
    </row>
    <row r="170" spans="1:12" ht="107.25" customHeight="1" x14ac:dyDescent="0.25">
      <c r="A170" s="85">
        <v>45291</v>
      </c>
      <c r="B170" s="86" t="s">
        <v>189</v>
      </c>
      <c r="C170" s="87" t="s">
        <v>163</v>
      </c>
      <c r="D170" s="87" t="s">
        <v>190</v>
      </c>
      <c r="E170" s="87" t="s">
        <v>4</v>
      </c>
      <c r="F170" s="88" t="s">
        <v>543</v>
      </c>
      <c r="G170" s="88" t="s">
        <v>587</v>
      </c>
      <c r="H170" s="88" t="s">
        <v>560</v>
      </c>
      <c r="I170" s="89" t="s">
        <v>18</v>
      </c>
      <c r="J170" s="93"/>
      <c r="K170" s="17" t="str">
        <f>VLOOKUP(A170,CCPA_AggregateDataFile!$A:$DU,39,0)</f>
        <v>https://www.ccpa.at/risikomanagement-wertpapierabwicklung/berechnung-der-marginhoehe/risk-faktoren/</v>
      </c>
      <c r="L170" s="34">
        <f>VLOOKUP($B170,QualitativeNotes!B:C,2,FALSE)</f>
        <v>0</v>
      </c>
    </row>
    <row r="171" spans="1:12" ht="107.25" customHeight="1" x14ac:dyDescent="0.25">
      <c r="A171" s="85">
        <v>45291</v>
      </c>
      <c r="B171" s="86" t="s">
        <v>191</v>
      </c>
      <c r="C171" s="87" t="s">
        <v>163</v>
      </c>
      <c r="D171" s="87" t="s">
        <v>192</v>
      </c>
      <c r="E171" s="87" t="s">
        <v>4</v>
      </c>
      <c r="F171" s="88" t="s">
        <v>543</v>
      </c>
      <c r="G171" s="88" t="s">
        <v>587</v>
      </c>
      <c r="H171" s="88" t="s">
        <v>560</v>
      </c>
      <c r="I171" s="89" t="s">
        <v>18</v>
      </c>
      <c r="J171" s="93"/>
      <c r="K171" s="17" t="str">
        <f>VLOOKUP(A171,CCPA_AggregateDataFile!$A:$DU,40,0)</f>
        <v>daily</v>
      </c>
      <c r="L171" s="34">
        <f>VLOOKUP($B171,QualitativeNotes!B:C,2,FALSE)</f>
        <v>0</v>
      </c>
    </row>
    <row r="172" spans="1:12" ht="107.25" customHeight="1" x14ac:dyDescent="0.25">
      <c r="A172" s="85">
        <v>45291</v>
      </c>
      <c r="B172" s="86" t="s">
        <v>193</v>
      </c>
      <c r="C172" s="87" t="s">
        <v>163</v>
      </c>
      <c r="D172" s="87" t="s">
        <v>194</v>
      </c>
      <c r="E172" s="87" t="s">
        <v>168</v>
      </c>
      <c r="F172" s="88" t="s">
        <v>543</v>
      </c>
      <c r="G172" s="88" t="s">
        <v>587</v>
      </c>
      <c r="H172" s="88" t="s">
        <v>560</v>
      </c>
      <c r="I172" s="89" t="s">
        <v>18</v>
      </c>
      <c r="J172" s="93"/>
      <c r="K172" s="32">
        <f>VLOOKUP(A172,CCPA_AggregateDataFile!$A:$DU,41,0)</f>
        <v>45291</v>
      </c>
      <c r="L172" s="34">
        <f>VLOOKUP($B172,QualitativeNotes!B:C,2,FALSE)</f>
        <v>0</v>
      </c>
    </row>
    <row r="173" spans="1:12" ht="75" x14ac:dyDescent="0.25">
      <c r="A173" s="85">
        <v>45291</v>
      </c>
      <c r="B173" s="86" t="s">
        <v>196</v>
      </c>
      <c r="C173" s="87" t="s">
        <v>195</v>
      </c>
      <c r="D173" s="87" t="s">
        <v>197</v>
      </c>
      <c r="E173" s="87" t="s">
        <v>88</v>
      </c>
      <c r="F173" s="88" t="s">
        <v>543</v>
      </c>
      <c r="G173" s="88" t="s">
        <v>587</v>
      </c>
      <c r="H173" s="88" t="s">
        <v>560</v>
      </c>
      <c r="I173" s="89" t="s">
        <v>18</v>
      </c>
      <c r="J173" s="93"/>
      <c r="K173" s="31">
        <f>VLOOKUP(A173,CCPA_AggregateDataFile!$A:$DU,42,0)</f>
        <v>1</v>
      </c>
      <c r="L173" s="34">
        <f>VLOOKUP($B173,QualitativeNotes!B:C,2,FALSE)</f>
        <v>0</v>
      </c>
    </row>
    <row r="174" spans="1:12" ht="60" x14ac:dyDescent="0.25">
      <c r="A174" s="85">
        <v>45291</v>
      </c>
      <c r="B174" s="86" t="s">
        <v>199</v>
      </c>
      <c r="C174" s="87" t="s">
        <v>198</v>
      </c>
      <c r="D174" s="87" t="s">
        <v>200</v>
      </c>
      <c r="E174" s="87" t="s">
        <v>4</v>
      </c>
      <c r="F174" s="88" t="s">
        <v>543</v>
      </c>
      <c r="G174" s="88" t="s">
        <v>587</v>
      </c>
      <c r="H174" s="88" t="s">
        <v>560</v>
      </c>
      <c r="I174" s="89" t="s">
        <v>18</v>
      </c>
      <c r="J174" s="93"/>
      <c r="K174" s="17" t="str">
        <f>VLOOKUP(A174,CCPA_AggregateDataFile!$A:$DU,43,0)</f>
        <v>Once a day</v>
      </c>
      <c r="L174" s="34">
        <f>VLOOKUP($B174,QualitativeNotes!B:C,2,FALSE)</f>
        <v>0</v>
      </c>
    </row>
    <row r="175" spans="1:12" ht="60" x14ac:dyDescent="0.25">
      <c r="A175" s="85">
        <v>45291</v>
      </c>
      <c r="B175" s="86" t="s">
        <v>201</v>
      </c>
      <c r="C175" s="87" t="s">
        <v>198</v>
      </c>
      <c r="D175" s="87" t="s">
        <v>202</v>
      </c>
      <c r="E175" s="87" t="s">
        <v>4</v>
      </c>
      <c r="F175" s="88" t="s">
        <v>543</v>
      </c>
      <c r="G175" s="88" t="s">
        <v>587</v>
      </c>
      <c r="H175" s="88" t="s">
        <v>560</v>
      </c>
      <c r="I175" s="89" t="s">
        <v>18</v>
      </c>
      <c r="J175" s="93"/>
      <c r="K175" s="17" t="str">
        <f>VLOOKUP(A175,CCPA_AggregateDataFile!$A:$DU,44,0)</f>
        <v>EoD (Nightbatch)</v>
      </c>
      <c r="L175" s="34">
        <f>VLOOKUP($B175,QualitativeNotes!B:C,2,FALSE)</f>
        <v>0</v>
      </c>
    </row>
    <row r="176" spans="1:12" ht="75" x14ac:dyDescent="0.25">
      <c r="A176" s="85">
        <v>45291</v>
      </c>
      <c r="B176" s="86" t="s">
        <v>203</v>
      </c>
      <c r="C176" s="87" t="s">
        <v>195</v>
      </c>
      <c r="D176" s="87" t="s">
        <v>204</v>
      </c>
      <c r="E176" s="87" t="s">
        <v>88</v>
      </c>
      <c r="F176" s="88" t="s">
        <v>543</v>
      </c>
      <c r="G176" s="88" t="s">
        <v>587</v>
      </c>
      <c r="H176" s="88" t="s">
        <v>560</v>
      </c>
      <c r="I176" s="89" t="s">
        <v>18</v>
      </c>
      <c r="J176" s="93"/>
      <c r="K176" s="31">
        <f>VLOOKUP(A176,CCPA_AggregateDataFile!$A:$DU,45,0)</f>
        <v>14932</v>
      </c>
      <c r="L176" s="34">
        <f>VLOOKUP($B176,QualitativeNotes!B:C,2,FALSE)</f>
        <v>0</v>
      </c>
    </row>
    <row r="177" spans="1:12" ht="75" x14ac:dyDescent="0.25">
      <c r="A177" s="85">
        <v>45291</v>
      </c>
      <c r="B177" s="86" t="s">
        <v>205</v>
      </c>
      <c r="C177" s="87" t="s">
        <v>195</v>
      </c>
      <c r="D177" s="87" t="s">
        <v>206</v>
      </c>
      <c r="E177" s="87" t="s">
        <v>113</v>
      </c>
      <c r="F177" s="88" t="s">
        <v>543</v>
      </c>
      <c r="G177" s="88" t="s">
        <v>587</v>
      </c>
      <c r="H177" s="88" t="s">
        <v>560</v>
      </c>
      <c r="I177" s="89" t="s">
        <v>18</v>
      </c>
      <c r="J177" s="93"/>
      <c r="K177" s="33">
        <f>VLOOKUP(A177,CCPA_AggregateDataFile!$A:$DU,46,0)</f>
        <v>1</v>
      </c>
      <c r="L177" s="34">
        <f>VLOOKUP($B177,QualitativeNotes!B:C,2,FALSE)</f>
        <v>0</v>
      </c>
    </row>
    <row r="178" spans="1:12" ht="75" x14ac:dyDescent="0.25">
      <c r="A178" s="85">
        <v>45291</v>
      </c>
      <c r="B178" s="86" t="s">
        <v>207</v>
      </c>
      <c r="C178" s="87" t="s">
        <v>195</v>
      </c>
      <c r="D178" s="87" t="s">
        <v>208</v>
      </c>
      <c r="E178" s="87" t="s">
        <v>19</v>
      </c>
      <c r="F178" s="88" t="s">
        <v>543</v>
      </c>
      <c r="G178" s="88" t="s">
        <v>587</v>
      </c>
      <c r="H178" s="88" t="s">
        <v>560</v>
      </c>
      <c r="I178" s="89" t="s">
        <v>18</v>
      </c>
      <c r="J178" s="93"/>
      <c r="K178" s="30">
        <f>VLOOKUP(A178,CCPA_AggregateDataFile!$A:$DU,47,0)</f>
        <v>2091.9699999999998</v>
      </c>
      <c r="L178" s="34">
        <f>VLOOKUP($B178,QualitativeNotes!B:C,2,FALSE)</f>
        <v>0</v>
      </c>
    </row>
    <row r="179" spans="1:12" ht="75" x14ac:dyDescent="0.25">
      <c r="A179" s="85">
        <v>45291</v>
      </c>
      <c r="B179" s="86" t="s">
        <v>210</v>
      </c>
      <c r="C179" s="87" t="s">
        <v>195</v>
      </c>
      <c r="D179" s="87" t="s">
        <v>211</v>
      </c>
      <c r="E179" s="87" t="s">
        <v>19</v>
      </c>
      <c r="F179" s="88" t="s">
        <v>543</v>
      </c>
      <c r="G179" s="88" t="s">
        <v>587</v>
      </c>
      <c r="H179" s="88" t="s">
        <v>560</v>
      </c>
      <c r="I179" s="89" t="s">
        <v>18</v>
      </c>
      <c r="J179" s="93"/>
      <c r="K179" s="30">
        <f>VLOOKUP(A179,CCPA_AggregateDataFile!$A:$DU,48,0)</f>
        <v>2091.9699999999998</v>
      </c>
      <c r="L179" s="34">
        <f>VLOOKUP($B179,QualitativeNotes!B:C,2,FALSE)</f>
        <v>0</v>
      </c>
    </row>
    <row r="180" spans="1:12" ht="45" x14ac:dyDescent="0.25">
      <c r="A180" s="85">
        <v>45291</v>
      </c>
      <c r="B180" s="86" t="s">
        <v>213</v>
      </c>
      <c r="C180" s="87" t="s">
        <v>544</v>
      </c>
      <c r="D180" s="87" t="s">
        <v>544</v>
      </c>
      <c r="E180" s="87" t="s">
        <v>19</v>
      </c>
      <c r="F180" s="88" t="s">
        <v>530</v>
      </c>
      <c r="G180" s="88" t="s">
        <v>587</v>
      </c>
      <c r="H180" s="88" t="s">
        <v>560</v>
      </c>
      <c r="I180" s="89" t="s">
        <v>18</v>
      </c>
      <c r="J180" s="93"/>
      <c r="K180" s="30">
        <f>VLOOKUP(A180,CCPA_AggregateDataFile!$A:$DU,49,0)</f>
        <v>0</v>
      </c>
      <c r="L180" s="34">
        <f>VLOOKUP($B180,QualitativeNotes!B:C,2,FALSE)</f>
        <v>0</v>
      </c>
    </row>
    <row r="181" spans="1:12" ht="45" x14ac:dyDescent="0.25">
      <c r="A181" s="85">
        <v>45291</v>
      </c>
      <c r="B181" s="86" t="s">
        <v>215</v>
      </c>
      <c r="C181" s="87" t="s">
        <v>214</v>
      </c>
      <c r="D181" s="87" t="s">
        <v>214</v>
      </c>
      <c r="E181" s="87" t="s">
        <v>19</v>
      </c>
      <c r="F181" s="88" t="s">
        <v>530</v>
      </c>
      <c r="G181" s="88" t="s">
        <v>587</v>
      </c>
      <c r="H181" s="88" t="s">
        <v>560</v>
      </c>
      <c r="I181" s="89" t="s">
        <v>18</v>
      </c>
      <c r="J181" s="93"/>
      <c r="K181" s="30">
        <f>VLOOKUP(A181,CCPA_AggregateDataFile!$A:$DU,50,0)</f>
        <v>0</v>
      </c>
      <c r="L181" s="34">
        <f>VLOOKUP($B181,QualitativeNotes!B:C,2,FALSE)</f>
        <v>0</v>
      </c>
    </row>
    <row r="182" spans="1:12" ht="45" x14ac:dyDescent="0.25">
      <c r="A182" s="85">
        <v>45291</v>
      </c>
      <c r="B182" s="86" t="s">
        <v>217</v>
      </c>
      <c r="C182" s="87" t="s">
        <v>216</v>
      </c>
      <c r="D182" s="87" t="s">
        <v>216</v>
      </c>
      <c r="E182" s="87" t="s">
        <v>19</v>
      </c>
      <c r="F182" s="88" t="s">
        <v>525</v>
      </c>
      <c r="G182" s="88" t="s">
        <v>587</v>
      </c>
      <c r="H182" s="88" t="s">
        <v>560</v>
      </c>
      <c r="I182" s="89" t="s">
        <v>18</v>
      </c>
      <c r="J182" s="93"/>
      <c r="K182" s="30">
        <f>VLOOKUP(A182,CCPA_AggregateDataFile!$A:$DU,51,0)</f>
        <v>4332815.602</v>
      </c>
      <c r="L182" s="34">
        <f>VLOOKUP($B182,QualitativeNotes!B:C,2,FALSE)</f>
        <v>0</v>
      </c>
    </row>
    <row r="183" spans="1:12" ht="30" x14ac:dyDescent="0.25">
      <c r="A183" s="85">
        <v>45291</v>
      </c>
      <c r="B183" s="86" t="s">
        <v>219</v>
      </c>
      <c r="C183" s="87" t="s">
        <v>218</v>
      </c>
      <c r="D183" s="87" t="s">
        <v>220</v>
      </c>
      <c r="E183" s="87" t="s">
        <v>4</v>
      </c>
      <c r="F183" s="88" t="s">
        <v>530</v>
      </c>
      <c r="G183" s="88" t="s">
        <v>587</v>
      </c>
      <c r="H183" s="88" t="s">
        <v>560</v>
      </c>
      <c r="I183" s="89" t="s">
        <v>18</v>
      </c>
      <c r="J183" s="93"/>
      <c r="K183" s="17" t="str">
        <f>VLOOKUP(A183,CCPA_AggregateDataFile!$A:$DU,52,0)</f>
        <v xml:space="preserve">cover 2 </v>
      </c>
      <c r="L183" s="34">
        <f>VLOOKUP($B183,QualitativeNotes!B:C,2,FALSE)</f>
        <v>0</v>
      </c>
    </row>
    <row r="184" spans="1:12" ht="45" x14ac:dyDescent="0.25">
      <c r="A184" s="85">
        <v>45291</v>
      </c>
      <c r="B184" s="86" t="s">
        <v>221</v>
      </c>
      <c r="C184" s="87" t="s">
        <v>218</v>
      </c>
      <c r="D184" s="87" t="s">
        <v>222</v>
      </c>
      <c r="E184" s="87" t="s">
        <v>19</v>
      </c>
      <c r="F184" s="88" t="s">
        <v>530</v>
      </c>
      <c r="G184" s="88" t="s">
        <v>587</v>
      </c>
      <c r="H184" s="88" t="s">
        <v>560</v>
      </c>
      <c r="I184" s="89" t="s">
        <v>18</v>
      </c>
      <c r="J184" s="93" t="s">
        <v>223</v>
      </c>
      <c r="K184" s="30" cm="1">
        <f t="array" ref="K184">VLOOKUP(A184&amp;J184,CHOOSE({1,2},CCPA_DataFile_7_1!$A:$A&amp;CCPA_DataFile_7_1!$D:$D,CCPA_DataFile_7_1!$F:$F),2,0)</f>
        <v>33929517.070000291</v>
      </c>
      <c r="L184" s="34">
        <f>VLOOKUP($B184,QualitativeNotes!B:C,2,FALSE)</f>
        <v>0</v>
      </c>
    </row>
    <row r="185" spans="1:12" ht="45" x14ac:dyDescent="0.25">
      <c r="A185" s="85">
        <v>45291</v>
      </c>
      <c r="B185" s="86" t="s">
        <v>225</v>
      </c>
      <c r="C185" s="87" t="s">
        <v>218</v>
      </c>
      <c r="D185" s="87" t="s">
        <v>226</v>
      </c>
      <c r="E185" s="87" t="s">
        <v>19</v>
      </c>
      <c r="F185" s="88" t="s">
        <v>530</v>
      </c>
      <c r="G185" s="88" t="s">
        <v>587</v>
      </c>
      <c r="H185" s="88" t="s">
        <v>560</v>
      </c>
      <c r="I185" s="89" t="s">
        <v>18</v>
      </c>
      <c r="J185" s="93" t="s">
        <v>223</v>
      </c>
      <c r="K185" s="30" cm="1">
        <f t="array" ref="K185">VLOOKUP(A185&amp;J185,CHOOSE({1,2},CCPA_DataFile_7_1!$A:$A&amp;CCPA_DataFile_7_1!$D:$D,CCPA_DataFile_7_1!$G:$G),2,0)</f>
        <v>0</v>
      </c>
      <c r="L185" s="34">
        <f>VLOOKUP($B185,QualitativeNotes!B:C,2,FALSE)</f>
        <v>0</v>
      </c>
    </row>
    <row r="186" spans="1:12" ht="45" x14ac:dyDescent="0.25">
      <c r="A186" s="85">
        <v>45291</v>
      </c>
      <c r="B186" s="86" t="s">
        <v>227</v>
      </c>
      <c r="C186" s="87" t="s">
        <v>218</v>
      </c>
      <c r="D186" s="87" t="s">
        <v>228</v>
      </c>
      <c r="E186" s="87" t="s">
        <v>19</v>
      </c>
      <c r="F186" s="88" t="s">
        <v>530</v>
      </c>
      <c r="G186" s="88" t="s">
        <v>587</v>
      </c>
      <c r="H186" s="88" t="s">
        <v>560</v>
      </c>
      <c r="I186" s="89" t="s">
        <v>18</v>
      </c>
      <c r="J186" s="93" t="s">
        <v>223</v>
      </c>
      <c r="K186" s="30" cm="1">
        <f t="array" ref="K186">VLOOKUP(A186&amp;J186,CHOOSE({1,2},CCPA_DataFile_7_1!$A:$A&amp;CCPA_DataFile_7_1!$D:$D,CCPA_DataFile_7_1!$H:$H),2,0)</f>
        <v>0</v>
      </c>
      <c r="L186" s="34">
        <f>VLOOKUP($B186,QualitativeNotes!B:C,2,FALSE)</f>
        <v>0</v>
      </c>
    </row>
    <row r="187" spans="1:12" ht="45" x14ac:dyDescent="0.25">
      <c r="A187" s="85">
        <v>45291</v>
      </c>
      <c r="B187" s="86" t="s">
        <v>229</v>
      </c>
      <c r="C187" s="87" t="s">
        <v>218</v>
      </c>
      <c r="D187" s="87" t="s">
        <v>230</v>
      </c>
      <c r="E187" s="87" t="s">
        <v>19</v>
      </c>
      <c r="F187" s="88" t="s">
        <v>530</v>
      </c>
      <c r="G187" s="88" t="s">
        <v>587</v>
      </c>
      <c r="H187" s="88" t="s">
        <v>560</v>
      </c>
      <c r="I187" s="89" t="s">
        <v>18</v>
      </c>
      <c r="J187" s="93" t="s">
        <v>223</v>
      </c>
      <c r="K187" s="30" cm="1">
        <f t="array" ref="K187">VLOOKUP(A187&amp;J187,CHOOSE({1,2},CCPA_DataFile_7_1!$A:$A&amp;CCPA_DataFile_7_1!$D:$D,CCPA_DataFile_7_1!$I:$I),2,0)</f>
        <v>107257906.80000007</v>
      </c>
      <c r="L187" s="34">
        <f>VLOOKUP($B187,QualitativeNotes!B:C,2,FALSE)</f>
        <v>0</v>
      </c>
    </row>
    <row r="188" spans="1:12" ht="75" x14ac:dyDescent="0.25">
      <c r="A188" s="85">
        <v>45291</v>
      </c>
      <c r="B188" s="86" t="s">
        <v>231</v>
      </c>
      <c r="C188" s="87" t="s">
        <v>218</v>
      </c>
      <c r="D188" s="87" t="s">
        <v>232</v>
      </c>
      <c r="E188" s="87" t="s">
        <v>19</v>
      </c>
      <c r="F188" s="88" t="s">
        <v>530</v>
      </c>
      <c r="G188" s="88" t="s">
        <v>587</v>
      </c>
      <c r="H188" s="88" t="s">
        <v>560</v>
      </c>
      <c r="I188" s="89" t="s">
        <v>18</v>
      </c>
      <c r="J188" s="93" t="s">
        <v>223</v>
      </c>
      <c r="K188" s="30" cm="1">
        <f t="array" ref="K188">VLOOKUP(A188&amp;J188,CHOOSE({1,2},CCPA_DataFile_7_1!$A:$A&amp;CCPA_DataFile_7_1!$D:$D,CCPA_DataFile_7_1!$J:$J),2,0)</f>
        <v>0</v>
      </c>
      <c r="L188" s="34">
        <f>VLOOKUP($B188,QualitativeNotes!B:C,2,FALSE)</f>
        <v>0</v>
      </c>
    </row>
    <row r="189" spans="1:12" ht="60" x14ac:dyDescent="0.25">
      <c r="A189" s="85">
        <v>45291</v>
      </c>
      <c r="B189" s="86" t="s">
        <v>233</v>
      </c>
      <c r="C189" s="87" t="s">
        <v>218</v>
      </c>
      <c r="D189" s="87" t="s">
        <v>234</v>
      </c>
      <c r="E189" s="87" t="s">
        <v>19</v>
      </c>
      <c r="F189" s="88" t="s">
        <v>530</v>
      </c>
      <c r="G189" s="88" t="s">
        <v>587</v>
      </c>
      <c r="H189" s="88" t="s">
        <v>560</v>
      </c>
      <c r="I189" s="89" t="s">
        <v>18</v>
      </c>
      <c r="J189" s="93" t="s">
        <v>223</v>
      </c>
      <c r="K189" s="30" cm="1">
        <f t="array" ref="K189">VLOOKUP(A189&amp;J189,CHOOSE({1,2},CCPA_DataFile_7_1!$A:$A&amp;CCPA_DataFile_7_1!$D:$D,CCPA_DataFile_7_1!$K:$K),2,0)</f>
        <v>30000000</v>
      </c>
      <c r="L189" s="34">
        <f>VLOOKUP($B189,QualitativeNotes!B:C,2,FALSE)</f>
        <v>0</v>
      </c>
    </row>
    <row r="190" spans="1:12" ht="90" x14ac:dyDescent="0.25">
      <c r="A190" s="85">
        <v>45291</v>
      </c>
      <c r="B190" s="86" t="s">
        <v>235</v>
      </c>
      <c r="C190" s="87" t="s">
        <v>218</v>
      </c>
      <c r="D190" s="87" t="s">
        <v>236</v>
      </c>
      <c r="E190" s="87" t="s">
        <v>19</v>
      </c>
      <c r="F190" s="88" t="s">
        <v>530</v>
      </c>
      <c r="G190" s="88" t="s">
        <v>587</v>
      </c>
      <c r="H190" s="88" t="s">
        <v>560</v>
      </c>
      <c r="I190" s="89" t="s">
        <v>18</v>
      </c>
      <c r="J190" s="93" t="s">
        <v>223</v>
      </c>
      <c r="K190" s="30" cm="1">
        <f t="array" ref="K190">VLOOKUP(A190&amp;J190,CHOOSE({1,2},CCPA_DataFile_7_1!$A:$A&amp;CCPA_DataFile_7_1!$D:$D,CCPA_DataFile_7_1!$L:$L),2,0)</f>
        <v>0</v>
      </c>
      <c r="L190" s="34">
        <f>VLOOKUP($B190,QualitativeNotes!B:C,2,FALSE)</f>
        <v>0</v>
      </c>
    </row>
    <row r="191" spans="1:12" ht="45" x14ac:dyDescent="0.25">
      <c r="A191" s="85">
        <v>45291</v>
      </c>
      <c r="B191" s="86" t="s">
        <v>237</v>
      </c>
      <c r="C191" s="87" t="s">
        <v>218</v>
      </c>
      <c r="D191" s="87" t="s">
        <v>238</v>
      </c>
      <c r="E191" s="87" t="s">
        <v>19</v>
      </c>
      <c r="F191" s="88" t="s">
        <v>530</v>
      </c>
      <c r="G191" s="88" t="s">
        <v>587</v>
      </c>
      <c r="H191" s="88" t="s">
        <v>560</v>
      </c>
      <c r="I191" s="89" t="s">
        <v>18</v>
      </c>
      <c r="J191" s="93" t="s">
        <v>223</v>
      </c>
      <c r="K191" s="30" cm="1">
        <f t="array" ref="K191">VLOOKUP(A191&amp;J191,CHOOSE({1,2},CCPA_DataFile_7_1!$A:$A&amp;CCPA_DataFile_7_1!$D:$D,CCPA_DataFile_7_1!$M:$M),2,0)</f>
        <v>0</v>
      </c>
      <c r="L191" s="34">
        <f>VLOOKUP($B191,QualitativeNotes!B:C,2,FALSE)</f>
        <v>0</v>
      </c>
    </row>
    <row r="192" spans="1:12" ht="30" x14ac:dyDescent="0.25">
      <c r="A192" s="85">
        <v>45291</v>
      </c>
      <c r="B192" s="86" t="s">
        <v>239</v>
      </c>
      <c r="C192" s="87" t="s">
        <v>218</v>
      </c>
      <c r="D192" s="87" t="s">
        <v>240</v>
      </c>
      <c r="E192" s="87" t="s">
        <v>4</v>
      </c>
      <c r="F192" s="88" t="s">
        <v>530</v>
      </c>
      <c r="G192" s="88" t="s">
        <v>587</v>
      </c>
      <c r="H192" s="88" t="s">
        <v>560</v>
      </c>
      <c r="I192" s="89" t="s">
        <v>18</v>
      </c>
      <c r="J192" s="93"/>
      <c r="K192" s="17">
        <f>VLOOKUP(A192,CCPA_AggregateDataFile!$A:$DU,53,0)</f>
        <v>0</v>
      </c>
      <c r="L192" s="34">
        <f>VLOOKUP($B192,QualitativeNotes!B:C,2,FALSE)</f>
        <v>0</v>
      </c>
    </row>
    <row r="193" spans="1:12" ht="60" x14ac:dyDescent="0.25">
      <c r="A193" s="85">
        <v>45291</v>
      </c>
      <c r="B193" s="86" t="s">
        <v>241</v>
      </c>
      <c r="C193" s="87" t="s">
        <v>218</v>
      </c>
      <c r="D193" s="87" t="s">
        <v>242</v>
      </c>
      <c r="E193" s="87" t="s">
        <v>4</v>
      </c>
      <c r="F193" s="88" t="s">
        <v>530</v>
      </c>
      <c r="G193" s="88" t="s">
        <v>587</v>
      </c>
      <c r="H193" s="88" t="s">
        <v>560</v>
      </c>
      <c r="I193" s="89" t="s">
        <v>18</v>
      </c>
      <c r="J193" s="93"/>
      <c r="K193" s="17" t="str">
        <f>VLOOKUP(A193,CCPA_AggregateDataFile!$A:$DU,54,0)</f>
        <v>n/a</v>
      </c>
      <c r="L193" s="34">
        <f>VLOOKUP($B193,QualitativeNotes!B:C,2,FALSE)</f>
        <v>0</v>
      </c>
    </row>
    <row r="194" spans="1:12" ht="73.5" customHeight="1" x14ac:dyDescent="0.25">
      <c r="A194" s="85">
        <v>45291</v>
      </c>
      <c r="B194" s="86" t="s">
        <v>244</v>
      </c>
      <c r="C194" s="87" t="s">
        <v>243</v>
      </c>
      <c r="D194" s="87" t="s">
        <v>245</v>
      </c>
      <c r="E194" s="87" t="s">
        <v>19</v>
      </c>
      <c r="F194" s="88" t="s">
        <v>530</v>
      </c>
      <c r="G194" s="88" t="s">
        <v>587</v>
      </c>
      <c r="H194" s="88" t="s">
        <v>560</v>
      </c>
      <c r="I194" s="89" t="s">
        <v>18</v>
      </c>
      <c r="J194" s="93"/>
      <c r="K194" s="30" t="str">
        <f>VLOOKUP(A194,CCPA_AggregateDataFile!$A:$DU,55,0)</f>
        <v>n/a</v>
      </c>
      <c r="L194" s="34">
        <f>VLOOKUP($B194,QualitativeNotes!B:C,2,FALSE)</f>
        <v>0</v>
      </c>
    </row>
    <row r="195" spans="1:12" ht="105.75" customHeight="1" x14ac:dyDescent="0.25">
      <c r="A195" s="85">
        <v>45291</v>
      </c>
      <c r="B195" s="86" t="s">
        <v>246</v>
      </c>
      <c r="C195" s="87" t="s">
        <v>218</v>
      </c>
      <c r="D195" s="87" t="s">
        <v>247</v>
      </c>
      <c r="E195" s="87" t="s">
        <v>19</v>
      </c>
      <c r="F195" s="88" t="s">
        <v>525</v>
      </c>
      <c r="G195" s="88" t="s">
        <v>587</v>
      </c>
      <c r="H195" s="88" t="s">
        <v>560</v>
      </c>
      <c r="I195" s="89" t="s">
        <v>18</v>
      </c>
      <c r="J195" s="93" t="s">
        <v>545</v>
      </c>
      <c r="K195" s="30" t="s">
        <v>289</v>
      </c>
      <c r="L195" s="34">
        <f>VLOOKUP($B195,QualitativeNotes!B:C,2,FALSE)</f>
        <v>0</v>
      </c>
    </row>
    <row r="196" spans="1:12" ht="105.75" customHeight="1" x14ac:dyDescent="0.25">
      <c r="A196" s="85">
        <v>45291</v>
      </c>
      <c r="B196" s="86" t="s">
        <v>246</v>
      </c>
      <c r="C196" s="87" t="s">
        <v>218</v>
      </c>
      <c r="D196" s="87" t="s">
        <v>247</v>
      </c>
      <c r="E196" s="87" t="s">
        <v>19</v>
      </c>
      <c r="F196" s="88" t="s">
        <v>525</v>
      </c>
      <c r="G196" s="88" t="s">
        <v>587</v>
      </c>
      <c r="H196" s="88" t="s">
        <v>560</v>
      </c>
      <c r="I196" s="89" t="s">
        <v>18</v>
      </c>
      <c r="J196" s="93" t="s">
        <v>546</v>
      </c>
      <c r="K196" s="30" cm="1">
        <f t="array" ref="K196">VLOOKUP(A196&amp;J196,CHOOSE({1,2},CCPA_DataFile_7_3!$A:$A&amp;CCPA_DataFile_7_3!$D:$D,CCPA_DataFile_7_3!$F:$F),2,0)</f>
        <v>28186245.399999999</v>
      </c>
      <c r="L196" s="34">
        <f>VLOOKUP($B196,QualitativeNotes!B:C,2,FALSE)</f>
        <v>0</v>
      </c>
    </row>
    <row r="197" spans="1:12" ht="75" x14ac:dyDescent="0.25">
      <c r="A197" s="85">
        <v>45291</v>
      </c>
      <c r="B197" s="86" t="s">
        <v>250</v>
      </c>
      <c r="C197" s="87" t="s">
        <v>218</v>
      </c>
      <c r="D197" s="87" t="s">
        <v>251</v>
      </c>
      <c r="E197" s="87" t="s">
        <v>88</v>
      </c>
      <c r="F197" s="88" t="s">
        <v>530</v>
      </c>
      <c r="G197" s="88" t="s">
        <v>587</v>
      </c>
      <c r="H197" s="88" t="s">
        <v>560</v>
      </c>
      <c r="I197" s="89" t="s">
        <v>18</v>
      </c>
      <c r="J197" s="93"/>
      <c r="K197" s="31">
        <f>VLOOKUP(A197,CCPA_AggregateDataFile!$A:$DU,56,0)</f>
        <v>0</v>
      </c>
      <c r="L197" s="34">
        <f>VLOOKUP($B197,QualitativeNotes!B:C,2,FALSE)</f>
        <v>0</v>
      </c>
    </row>
    <row r="198" spans="1:12" ht="78" customHeight="1" x14ac:dyDescent="0.25">
      <c r="A198" s="85">
        <v>45291</v>
      </c>
      <c r="B198" s="86" t="s">
        <v>252</v>
      </c>
      <c r="C198" s="87" t="s">
        <v>218</v>
      </c>
      <c r="D198" s="87" t="s">
        <v>253</v>
      </c>
      <c r="E198" s="87" t="s">
        <v>19</v>
      </c>
      <c r="F198" s="88" t="s">
        <v>530</v>
      </c>
      <c r="G198" s="88" t="s">
        <v>587</v>
      </c>
      <c r="H198" s="88" t="s">
        <v>560</v>
      </c>
      <c r="I198" s="89" t="s">
        <v>18</v>
      </c>
      <c r="J198" s="93" t="s">
        <v>101</v>
      </c>
      <c r="K198" s="30" cm="1">
        <f t="array" ref="K198">VLOOKUP(A198&amp;J198,CHOOSE({1,2},CCPA_DataFile_7_3a!$A:$A&amp;CCPA_DataFile_7_3a!$D:$D,CCPA_DataFile_7_3a!$F:$F),2,0)</f>
        <v>0</v>
      </c>
      <c r="L198" s="34">
        <f>VLOOKUP($B198,QualitativeNotes!B:C,2,FALSE)</f>
        <v>0</v>
      </c>
    </row>
    <row r="199" spans="1:12" ht="74.25" customHeight="1" x14ac:dyDescent="0.25">
      <c r="A199" s="85">
        <v>45291</v>
      </c>
      <c r="B199" s="86" t="s">
        <v>255</v>
      </c>
      <c r="C199" s="87" t="s">
        <v>218</v>
      </c>
      <c r="D199" s="87" t="s">
        <v>592</v>
      </c>
      <c r="E199" s="87" t="s">
        <v>19</v>
      </c>
      <c r="F199" s="88" t="s">
        <v>530</v>
      </c>
      <c r="G199" s="88" t="s">
        <v>587</v>
      </c>
      <c r="H199" s="88" t="s">
        <v>560</v>
      </c>
      <c r="I199" s="89" t="s">
        <v>18</v>
      </c>
      <c r="J199" s="93" t="s">
        <v>545</v>
      </c>
      <c r="K199" s="30" t="s">
        <v>289</v>
      </c>
      <c r="L199" s="34">
        <f>VLOOKUP($B199,QualitativeNotes!B:C,2,FALSE)</f>
        <v>0</v>
      </c>
    </row>
    <row r="200" spans="1:12" ht="74.25" customHeight="1" x14ac:dyDescent="0.25">
      <c r="A200" s="85">
        <v>45291</v>
      </c>
      <c r="B200" s="86" t="s">
        <v>255</v>
      </c>
      <c r="C200" s="87" t="s">
        <v>218</v>
      </c>
      <c r="D200" s="87" t="s">
        <v>592</v>
      </c>
      <c r="E200" s="87" t="s">
        <v>19</v>
      </c>
      <c r="F200" s="88" t="s">
        <v>530</v>
      </c>
      <c r="G200" s="88" t="s">
        <v>587</v>
      </c>
      <c r="H200" s="88" t="s">
        <v>560</v>
      </c>
      <c r="I200" s="89" t="s">
        <v>18</v>
      </c>
      <c r="J200" s="93" t="s">
        <v>546</v>
      </c>
      <c r="K200" s="30" cm="1">
        <f t="array" ref="K200">VLOOKUP(A200&amp;J200,CHOOSE({1,2},CCPA_DataFile_7_3!$A:$A&amp;CCPA_DataFile_7_3!$D:$D,CCPA_DataFile_7_3!$G:$G),2,0)</f>
        <v>32868528.879999999</v>
      </c>
      <c r="L200" s="34">
        <f>VLOOKUP($B200,QualitativeNotes!B:C,2,FALSE)</f>
        <v>0</v>
      </c>
    </row>
    <row r="201" spans="1:12" ht="108" customHeight="1" x14ac:dyDescent="0.25">
      <c r="A201" s="85">
        <v>45291</v>
      </c>
      <c r="B201" s="86" t="s">
        <v>257</v>
      </c>
      <c r="C201" s="87" t="s">
        <v>218</v>
      </c>
      <c r="D201" s="87" t="s">
        <v>258</v>
      </c>
      <c r="E201" s="87" t="s">
        <v>19</v>
      </c>
      <c r="F201" s="88" t="s">
        <v>530</v>
      </c>
      <c r="G201" s="88" t="s">
        <v>587</v>
      </c>
      <c r="H201" s="88" t="s">
        <v>560</v>
      </c>
      <c r="I201" s="89" t="s">
        <v>18</v>
      </c>
      <c r="J201" s="93" t="s">
        <v>545</v>
      </c>
      <c r="K201" s="30" t="s">
        <v>289</v>
      </c>
      <c r="L201" s="34">
        <f>VLOOKUP($B201,QualitativeNotes!B:C,2,FALSE)</f>
        <v>0</v>
      </c>
    </row>
    <row r="202" spans="1:12" ht="108" customHeight="1" x14ac:dyDescent="0.25">
      <c r="A202" s="85">
        <v>45291</v>
      </c>
      <c r="B202" s="86" t="s">
        <v>257</v>
      </c>
      <c r="C202" s="87" t="s">
        <v>218</v>
      </c>
      <c r="D202" s="87" t="s">
        <v>258</v>
      </c>
      <c r="E202" s="87" t="s">
        <v>19</v>
      </c>
      <c r="F202" s="88" t="s">
        <v>530</v>
      </c>
      <c r="G202" s="88" t="s">
        <v>587</v>
      </c>
      <c r="H202" s="88" t="s">
        <v>560</v>
      </c>
      <c r="I202" s="89" t="s">
        <v>18</v>
      </c>
      <c r="J202" s="93" t="s">
        <v>546</v>
      </c>
      <c r="K202" s="30" cm="1">
        <f t="array" ref="K202">VLOOKUP(A202&amp;J202,CHOOSE({1,2},CCPA_DataFile_7_3!$A:$A&amp;CCPA_DataFile_7_3!$D:$D,CCPA_DataFile_7_3!$H:$H),2,0)</f>
        <v>0</v>
      </c>
      <c r="L202" s="34">
        <f>VLOOKUP($B202,QualitativeNotes!B:C,2,FALSE)</f>
        <v>0</v>
      </c>
    </row>
    <row r="203" spans="1:12" ht="73.5" customHeight="1" x14ac:dyDescent="0.25">
      <c r="A203" s="85">
        <v>45291</v>
      </c>
      <c r="B203" s="86" t="s">
        <v>259</v>
      </c>
      <c r="C203" s="87" t="s">
        <v>218</v>
      </c>
      <c r="D203" s="87" t="s">
        <v>260</v>
      </c>
      <c r="E203" s="87" t="s">
        <v>88</v>
      </c>
      <c r="F203" s="88" t="s">
        <v>530</v>
      </c>
      <c r="G203" s="88" t="s">
        <v>587</v>
      </c>
      <c r="H203" s="88" t="s">
        <v>560</v>
      </c>
      <c r="I203" s="89" t="s">
        <v>18</v>
      </c>
      <c r="J203" s="93" t="s">
        <v>547</v>
      </c>
      <c r="K203" s="31" cm="1">
        <f t="array" ref="K203">VLOOKUP(A203&amp;J203,CHOOSE({1,2},CCPA_DataFile_7_3b!$A:$A&amp;CCPA_DataFile_7_3b!$D:$D,CCPA_DataFile_7_3b!$E:$E),2,0)</f>
        <v>0</v>
      </c>
      <c r="L203" s="34">
        <f>VLOOKUP($B203,QualitativeNotes!B:C,2,FALSE)</f>
        <v>0</v>
      </c>
    </row>
    <row r="204" spans="1:12" ht="75" x14ac:dyDescent="0.25">
      <c r="A204" s="85">
        <v>45291</v>
      </c>
      <c r="B204" s="86" t="s">
        <v>263</v>
      </c>
      <c r="C204" s="87" t="s">
        <v>218</v>
      </c>
      <c r="D204" s="87" t="s">
        <v>264</v>
      </c>
      <c r="E204" s="87" t="s">
        <v>19</v>
      </c>
      <c r="F204" s="88" t="s">
        <v>530</v>
      </c>
      <c r="G204" s="88" t="s">
        <v>587</v>
      </c>
      <c r="H204" s="88" t="s">
        <v>560</v>
      </c>
      <c r="I204" s="89" t="s">
        <v>18</v>
      </c>
      <c r="J204" s="93" t="s">
        <v>101</v>
      </c>
      <c r="K204" s="30" cm="1">
        <f t="array" ref="K204">VLOOKUP(A204&amp;J204,CHOOSE({1,2},CCPA_DataFile_7_3a!$A:$A&amp;CCPA_DataFile_7_3a!$D:$D,CCPA_DataFile_7_3a!$G:$G),2,0)</f>
        <v>0</v>
      </c>
      <c r="L204" s="34">
        <f>VLOOKUP($B204,QualitativeNotes!B:C,2,FALSE)</f>
        <v>0</v>
      </c>
    </row>
    <row r="205" spans="1:12" ht="45" x14ac:dyDescent="0.25">
      <c r="A205" s="85">
        <v>45291</v>
      </c>
      <c r="B205" s="86" t="s">
        <v>266</v>
      </c>
      <c r="C205" s="87" t="s">
        <v>265</v>
      </c>
      <c r="D205" s="87" t="s">
        <v>267</v>
      </c>
      <c r="E205" s="87" t="s">
        <v>113</v>
      </c>
      <c r="F205" s="88" t="s">
        <v>525</v>
      </c>
      <c r="G205" s="88" t="s">
        <v>587</v>
      </c>
      <c r="H205" s="88" t="s">
        <v>560</v>
      </c>
      <c r="I205" s="89" t="s">
        <v>18</v>
      </c>
      <c r="J205" s="93"/>
      <c r="K205" s="33">
        <f>VLOOKUP(A205,CCPA_AggregateDataFile!$A:$DU,57,0)</f>
        <v>1</v>
      </c>
      <c r="L205" s="34">
        <f>VLOOKUP($B205,QualitativeNotes!B:C,2,FALSE)</f>
        <v>0</v>
      </c>
    </row>
    <row r="206" spans="1:12" ht="45" x14ac:dyDescent="0.25">
      <c r="A206" s="85">
        <v>45291</v>
      </c>
      <c r="B206" s="86" t="s">
        <v>268</v>
      </c>
      <c r="C206" s="87" t="s">
        <v>265</v>
      </c>
      <c r="D206" s="87" t="s">
        <v>269</v>
      </c>
      <c r="E206" s="87" t="s">
        <v>113</v>
      </c>
      <c r="F206" s="88" t="s">
        <v>525</v>
      </c>
      <c r="G206" s="88" t="s">
        <v>587</v>
      </c>
      <c r="H206" s="88" t="s">
        <v>560</v>
      </c>
      <c r="I206" s="89" t="s">
        <v>18</v>
      </c>
      <c r="J206" s="93"/>
      <c r="K206" s="33">
        <f>VLOOKUP(A206,CCPA_AggregateDataFile!$A:$DU,58,0)</f>
        <v>0</v>
      </c>
      <c r="L206" s="34">
        <f>VLOOKUP($B206,QualitativeNotes!B:C,2,FALSE)</f>
        <v>0</v>
      </c>
    </row>
    <row r="207" spans="1:12" ht="45" x14ac:dyDescent="0.25">
      <c r="A207" s="85">
        <v>45291</v>
      </c>
      <c r="B207" s="86" t="s">
        <v>270</v>
      </c>
      <c r="C207" s="87" t="s">
        <v>265</v>
      </c>
      <c r="D207" s="87" t="s">
        <v>271</v>
      </c>
      <c r="E207" s="87" t="s">
        <v>113</v>
      </c>
      <c r="F207" s="88" t="s">
        <v>525</v>
      </c>
      <c r="G207" s="88" t="s">
        <v>587</v>
      </c>
      <c r="H207" s="88" t="s">
        <v>560</v>
      </c>
      <c r="I207" s="89" t="s">
        <v>18</v>
      </c>
      <c r="J207" s="93"/>
      <c r="K207" s="33">
        <f>VLOOKUP(A207,CCPA_AggregateDataFile!$A:$DU,59,0)</f>
        <v>0</v>
      </c>
      <c r="L207" s="34">
        <f>VLOOKUP($B207,QualitativeNotes!B:C,2,FALSE)</f>
        <v>0</v>
      </c>
    </row>
    <row r="208" spans="1:12" ht="45" x14ac:dyDescent="0.25">
      <c r="A208" s="85">
        <v>45291</v>
      </c>
      <c r="B208" s="86" t="s">
        <v>273</v>
      </c>
      <c r="C208" s="87" t="s">
        <v>272</v>
      </c>
      <c r="D208" s="87" t="s">
        <v>274</v>
      </c>
      <c r="E208" s="87" t="s">
        <v>113</v>
      </c>
      <c r="F208" s="88" t="s">
        <v>525</v>
      </c>
      <c r="G208" s="88" t="s">
        <v>587</v>
      </c>
      <c r="H208" s="88" t="s">
        <v>560</v>
      </c>
      <c r="I208" s="89" t="s">
        <v>18</v>
      </c>
      <c r="J208" s="93"/>
      <c r="K208" s="33">
        <f>VLOOKUP(A208,CCPA_AggregateDataFile!$A:$DU,60,0)</f>
        <v>1</v>
      </c>
      <c r="L208" s="34">
        <f>VLOOKUP($B208,QualitativeNotes!B:C,2,FALSE)</f>
        <v>0</v>
      </c>
    </row>
    <row r="209" spans="1:12" ht="45" x14ac:dyDescent="0.25">
      <c r="A209" s="85">
        <v>45291</v>
      </c>
      <c r="B209" s="86" t="s">
        <v>275</v>
      </c>
      <c r="C209" s="87" t="s">
        <v>272</v>
      </c>
      <c r="D209" s="87" t="s">
        <v>276</v>
      </c>
      <c r="E209" s="87" t="s">
        <v>113</v>
      </c>
      <c r="F209" s="88" t="s">
        <v>525</v>
      </c>
      <c r="G209" s="88" t="s">
        <v>587</v>
      </c>
      <c r="H209" s="88" t="s">
        <v>560</v>
      </c>
      <c r="I209" s="89" t="s">
        <v>18</v>
      </c>
      <c r="J209" s="93"/>
      <c r="K209" s="33">
        <f>VLOOKUP(A209,CCPA_AggregateDataFile!$A:$DU,61,0)</f>
        <v>0</v>
      </c>
      <c r="L209" s="34">
        <f>VLOOKUP($B209,QualitativeNotes!B:C,2,FALSE)</f>
        <v>0</v>
      </c>
    </row>
    <row r="210" spans="1:12" ht="45" x14ac:dyDescent="0.25">
      <c r="A210" s="85">
        <v>45291</v>
      </c>
      <c r="B210" s="86" t="s">
        <v>277</v>
      </c>
      <c r="C210" s="87" t="s">
        <v>272</v>
      </c>
      <c r="D210" s="87" t="s">
        <v>278</v>
      </c>
      <c r="E210" s="87" t="s">
        <v>113</v>
      </c>
      <c r="F210" s="88" t="s">
        <v>525</v>
      </c>
      <c r="G210" s="88" t="s">
        <v>587</v>
      </c>
      <c r="H210" s="88" t="s">
        <v>560</v>
      </c>
      <c r="I210" s="89" t="s">
        <v>18</v>
      </c>
      <c r="J210" s="93"/>
      <c r="K210" s="33">
        <f>VLOOKUP(A210,CCPA_AggregateDataFile!$A:$DU,62,0)</f>
        <v>0</v>
      </c>
      <c r="L210" s="34">
        <f>VLOOKUP($B210,QualitativeNotes!B:C,2,FALSE)</f>
        <v>0</v>
      </c>
    </row>
    <row r="211" spans="1:12" ht="30" x14ac:dyDescent="0.25">
      <c r="A211" s="85">
        <v>45291</v>
      </c>
      <c r="B211" s="86" t="s">
        <v>280</v>
      </c>
      <c r="C211" s="87" t="s">
        <v>279</v>
      </c>
      <c r="D211" s="87" t="s">
        <v>281</v>
      </c>
      <c r="E211" s="87" t="s">
        <v>4</v>
      </c>
      <c r="F211" s="88" t="s">
        <v>525</v>
      </c>
      <c r="G211" s="88" t="s">
        <v>587</v>
      </c>
      <c r="H211" s="88" t="s">
        <v>560</v>
      </c>
      <c r="I211" s="89" t="s">
        <v>18</v>
      </c>
      <c r="J211" s="93"/>
      <c r="K211" s="17">
        <f>VLOOKUP(A211,CCPA_AggregateDataFile!$A:$DU,63,0)</f>
        <v>0</v>
      </c>
      <c r="L211" s="34">
        <f>VLOOKUP($B211,QualitativeNotes!B:C,2,FALSE)</f>
        <v>0</v>
      </c>
    </row>
    <row r="212" spans="1:12" ht="30" x14ac:dyDescent="0.25">
      <c r="A212" s="85">
        <v>45291</v>
      </c>
      <c r="B212" s="86" t="s">
        <v>283</v>
      </c>
      <c r="C212" s="87" t="s">
        <v>279</v>
      </c>
      <c r="D212" s="87" t="s">
        <v>284</v>
      </c>
      <c r="E212" s="87" t="s">
        <v>4</v>
      </c>
      <c r="F212" s="88" t="s">
        <v>525</v>
      </c>
      <c r="G212" s="88" t="s">
        <v>587</v>
      </c>
      <c r="H212" s="88" t="s">
        <v>560</v>
      </c>
      <c r="I212" s="89" t="s">
        <v>18</v>
      </c>
      <c r="J212" s="93"/>
      <c r="K212" s="17">
        <f>VLOOKUP(A212,CCPA_AggregateDataFile!$A:$DU,64,0)</f>
        <v>0</v>
      </c>
      <c r="L212" s="34">
        <f>VLOOKUP($B212,QualitativeNotes!B:C,2,FALSE)</f>
        <v>0</v>
      </c>
    </row>
    <row r="213" spans="1:12" ht="30" x14ac:dyDescent="0.25">
      <c r="A213" s="85">
        <v>45291</v>
      </c>
      <c r="B213" s="86" t="s">
        <v>285</v>
      </c>
      <c r="C213" s="87" t="s">
        <v>279</v>
      </c>
      <c r="D213" s="87" t="s">
        <v>286</v>
      </c>
      <c r="E213" s="87" t="s">
        <v>4</v>
      </c>
      <c r="F213" s="88" t="s">
        <v>525</v>
      </c>
      <c r="G213" s="88" t="s">
        <v>587</v>
      </c>
      <c r="H213" s="88" t="s">
        <v>560</v>
      </c>
      <c r="I213" s="89" t="s">
        <v>18</v>
      </c>
      <c r="J213" s="93"/>
      <c r="K213" s="17">
        <f>VLOOKUP(A213,CCPA_AggregateDataFile!$A:$DU,65,0)</f>
        <v>0</v>
      </c>
      <c r="L213" s="34">
        <f>VLOOKUP($B213,QualitativeNotes!B:C,2,FALSE)</f>
        <v>0</v>
      </c>
    </row>
    <row r="214" spans="1:12" ht="30" x14ac:dyDescent="0.25">
      <c r="A214" s="85">
        <v>45291</v>
      </c>
      <c r="B214" s="86" t="s">
        <v>287</v>
      </c>
      <c r="C214" s="87" t="s">
        <v>279</v>
      </c>
      <c r="D214" s="87" t="s">
        <v>288</v>
      </c>
      <c r="E214" s="87" t="s">
        <v>4</v>
      </c>
      <c r="F214" s="88" t="s">
        <v>525</v>
      </c>
      <c r="G214" s="88" t="s">
        <v>587</v>
      </c>
      <c r="H214" s="88" t="s">
        <v>560</v>
      </c>
      <c r="I214" s="89" t="s">
        <v>18</v>
      </c>
      <c r="J214" s="93"/>
      <c r="K214" s="17">
        <f>VLOOKUP(A214,CCPA_AggregateDataFile!$A:$DU,66,0)</f>
        <v>0</v>
      </c>
      <c r="L214" s="34">
        <f>VLOOKUP($B214,QualitativeNotes!B:C,2,FALSE)</f>
        <v>0</v>
      </c>
    </row>
    <row r="215" spans="1:12" ht="45" x14ac:dyDescent="0.25">
      <c r="A215" s="85">
        <v>45291</v>
      </c>
      <c r="B215" s="86" t="s">
        <v>290</v>
      </c>
      <c r="C215" s="87" t="s">
        <v>279</v>
      </c>
      <c r="D215" s="87" t="s">
        <v>291</v>
      </c>
      <c r="E215" s="87" t="s">
        <v>4</v>
      </c>
      <c r="F215" s="88" t="s">
        <v>525</v>
      </c>
      <c r="G215" s="88" t="s">
        <v>587</v>
      </c>
      <c r="H215" s="88" t="s">
        <v>560</v>
      </c>
      <c r="I215" s="89" t="s">
        <v>18</v>
      </c>
      <c r="J215" s="93"/>
      <c r="K215" s="17">
        <f>VLOOKUP(A215,CCPA_AggregateDataFile!$A:$DU,67,0)</f>
        <v>0</v>
      </c>
      <c r="L215" s="34">
        <f>VLOOKUP($B215,QualitativeNotes!B:C,2,FALSE)</f>
        <v>0</v>
      </c>
    </row>
    <row r="216" spans="1:12" ht="60" x14ac:dyDescent="0.25">
      <c r="A216" s="85">
        <v>45291</v>
      </c>
      <c r="B216" s="86" t="s">
        <v>293</v>
      </c>
      <c r="C216" s="87" t="s">
        <v>292</v>
      </c>
      <c r="D216" s="87" t="s">
        <v>294</v>
      </c>
      <c r="E216" s="87" t="s">
        <v>113</v>
      </c>
      <c r="F216" s="88" t="s">
        <v>525</v>
      </c>
      <c r="G216" s="88" t="s">
        <v>587</v>
      </c>
      <c r="H216" s="88" t="s">
        <v>560</v>
      </c>
      <c r="I216" s="89" t="s">
        <v>18</v>
      </c>
      <c r="J216" s="93"/>
      <c r="K216" s="33">
        <f>VLOOKUP(A216,CCPA_AggregateDataFile!$A:$DU,68,0)</f>
        <v>2.3E-2</v>
      </c>
      <c r="L216" s="34">
        <f>VLOOKUP($B216,QualitativeNotes!B:C,2,FALSE)</f>
        <v>0</v>
      </c>
    </row>
    <row r="217" spans="1:12" ht="60" x14ac:dyDescent="0.25">
      <c r="A217" s="85">
        <v>45291</v>
      </c>
      <c r="B217" s="86" t="s">
        <v>295</v>
      </c>
      <c r="C217" s="87" t="s">
        <v>292</v>
      </c>
      <c r="D217" s="87" t="s">
        <v>296</v>
      </c>
      <c r="E217" s="87" t="s">
        <v>113</v>
      </c>
      <c r="F217" s="88" t="s">
        <v>525</v>
      </c>
      <c r="G217" s="88" t="s">
        <v>587</v>
      </c>
      <c r="H217" s="88" t="s">
        <v>560</v>
      </c>
      <c r="I217" s="89" t="s">
        <v>18</v>
      </c>
      <c r="J217" s="93"/>
      <c r="K217" s="33">
        <f>VLOOKUP(A217,CCPA_AggregateDataFile!$A:$DU,69,0)</f>
        <v>0.97699999999999998</v>
      </c>
      <c r="L217" s="34">
        <f>VLOOKUP($B217,QualitativeNotes!B:C,2,FALSE)</f>
        <v>0</v>
      </c>
    </row>
    <row r="218" spans="1:12" ht="60" x14ac:dyDescent="0.25">
      <c r="A218" s="85">
        <v>45291</v>
      </c>
      <c r="B218" s="86" t="s">
        <v>297</v>
      </c>
      <c r="C218" s="87" t="s">
        <v>292</v>
      </c>
      <c r="D218" s="87" t="s">
        <v>298</v>
      </c>
      <c r="E218" s="87" t="s">
        <v>113</v>
      </c>
      <c r="F218" s="88" t="s">
        <v>525</v>
      </c>
      <c r="G218" s="88" t="s">
        <v>587</v>
      </c>
      <c r="H218" s="88" t="s">
        <v>560</v>
      </c>
      <c r="I218" s="89" t="s">
        <v>18</v>
      </c>
      <c r="J218" s="93"/>
      <c r="K218" s="33">
        <f>VLOOKUP(A218,CCPA_AggregateDataFile!$A:$DU,70,0)</f>
        <v>0</v>
      </c>
      <c r="L218" s="34">
        <f>VLOOKUP($B218,QualitativeNotes!B:C,2,FALSE)</f>
        <v>0</v>
      </c>
    </row>
    <row r="219" spans="1:12" ht="60" x14ac:dyDescent="0.25">
      <c r="A219" s="85">
        <v>45291</v>
      </c>
      <c r="B219" s="86" t="s">
        <v>299</v>
      </c>
      <c r="C219" s="87" t="s">
        <v>292</v>
      </c>
      <c r="D219" s="87" t="s">
        <v>300</v>
      </c>
      <c r="E219" s="87" t="s">
        <v>113</v>
      </c>
      <c r="F219" s="88" t="s">
        <v>525</v>
      </c>
      <c r="G219" s="88" t="s">
        <v>587</v>
      </c>
      <c r="H219" s="88" t="s">
        <v>560</v>
      </c>
      <c r="I219" s="89" t="s">
        <v>18</v>
      </c>
      <c r="J219" s="93"/>
      <c r="K219" s="33">
        <f>VLOOKUP(A219,CCPA_AggregateDataFile!$A:$DU,71,0)</f>
        <v>0</v>
      </c>
      <c r="L219" s="34">
        <f>VLOOKUP($B219,QualitativeNotes!B:C,2,FALSE)</f>
        <v>0</v>
      </c>
    </row>
    <row r="220" spans="1:12" x14ac:dyDescent="0.25">
      <c r="A220" s="85">
        <v>45291</v>
      </c>
      <c r="B220" s="86" t="s">
        <v>302</v>
      </c>
      <c r="C220" s="87" t="s">
        <v>301</v>
      </c>
      <c r="D220" s="87" t="s">
        <v>303</v>
      </c>
      <c r="E220" s="87" t="s">
        <v>19</v>
      </c>
      <c r="F220" s="88" t="s">
        <v>525</v>
      </c>
      <c r="G220" s="88" t="s">
        <v>587</v>
      </c>
      <c r="H220" s="88" t="s">
        <v>560</v>
      </c>
      <c r="I220" s="89" t="s">
        <v>18</v>
      </c>
      <c r="J220" s="93"/>
      <c r="K220" s="30">
        <f>VLOOKUP(A220,CCPA_AggregateDataFile!$A:$DU,72,0)</f>
        <v>1856913.915</v>
      </c>
      <c r="L220" s="34">
        <f>VLOOKUP($B220,QualitativeNotes!B:C,2,FALSE)</f>
        <v>0</v>
      </c>
    </row>
    <row r="221" spans="1:12" x14ac:dyDescent="0.25">
      <c r="A221" s="85">
        <v>45291</v>
      </c>
      <c r="B221" s="86" t="s">
        <v>305</v>
      </c>
      <c r="C221" s="87" t="s">
        <v>301</v>
      </c>
      <c r="D221" s="87" t="s">
        <v>306</v>
      </c>
      <c r="E221" s="87" t="s">
        <v>19</v>
      </c>
      <c r="F221" s="88" t="s">
        <v>525</v>
      </c>
      <c r="G221" s="88" t="s">
        <v>587</v>
      </c>
      <c r="H221" s="88" t="s">
        <v>560</v>
      </c>
      <c r="I221" s="89" t="s">
        <v>18</v>
      </c>
      <c r="J221" s="93"/>
      <c r="K221" s="30">
        <f>VLOOKUP(A221,CCPA_AggregateDataFile!$A:$DU,73,0)</f>
        <v>1856913.915</v>
      </c>
      <c r="L221" s="34">
        <f>VLOOKUP($B221,QualitativeNotes!B:C,2,FALSE)</f>
        <v>0</v>
      </c>
    </row>
    <row r="222" spans="1:12" ht="30" x14ac:dyDescent="0.25">
      <c r="A222" s="85">
        <v>45291</v>
      </c>
      <c r="B222" s="86" t="s">
        <v>308</v>
      </c>
      <c r="C222" s="87" t="s">
        <v>307</v>
      </c>
      <c r="D222" s="87" t="s">
        <v>309</v>
      </c>
      <c r="E222" s="87" t="s">
        <v>19</v>
      </c>
      <c r="F222" s="88" t="s">
        <v>525</v>
      </c>
      <c r="G222" s="88" t="s">
        <v>587</v>
      </c>
      <c r="H222" s="88" t="s">
        <v>560</v>
      </c>
      <c r="I222" s="89" t="s">
        <v>18</v>
      </c>
      <c r="J222" s="93"/>
      <c r="K222" s="30">
        <f>VLOOKUP(A222,CCPA_AggregateDataFile!$A:$DU,74,0)</f>
        <v>5581155.5099999998</v>
      </c>
      <c r="L222" s="34">
        <f>VLOOKUP($B222,QualitativeNotes!B:C,2,FALSE)</f>
        <v>0</v>
      </c>
    </row>
    <row r="223" spans="1:12" ht="30" x14ac:dyDescent="0.25">
      <c r="A223" s="85">
        <v>45291</v>
      </c>
      <c r="B223" s="86" t="s">
        <v>310</v>
      </c>
      <c r="C223" s="87" t="s">
        <v>307</v>
      </c>
      <c r="D223" s="87" t="s">
        <v>311</v>
      </c>
      <c r="E223" s="87" t="s">
        <v>19</v>
      </c>
      <c r="F223" s="88" t="s">
        <v>525</v>
      </c>
      <c r="G223" s="88" t="s">
        <v>587</v>
      </c>
      <c r="H223" s="88" t="s">
        <v>560</v>
      </c>
      <c r="I223" s="89" t="s">
        <v>18</v>
      </c>
      <c r="J223" s="93"/>
      <c r="K223" s="30">
        <f>VLOOKUP(A223,CCPA_AggregateDataFile!$A:$DU,75,0)</f>
        <v>4000980.69</v>
      </c>
      <c r="L223" s="34">
        <f>VLOOKUP($B223,QualitativeNotes!B:C,2,FALSE)</f>
        <v>0</v>
      </c>
    </row>
    <row r="224" spans="1:12" ht="30" x14ac:dyDescent="0.25">
      <c r="A224" s="85">
        <v>45291</v>
      </c>
      <c r="B224" s="86" t="s">
        <v>312</v>
      </c>
      <c r="C224" s="87" t="s">
        <v>307</v>
      </c>
      <c r="D224" s="87" t="s">
        <v>313</v>
      </c>
      <c r="E224" s="87" t="s">
        <v>19</v>
      </c>
      <c r="F224" s="88" t="s">
        <v>525</v>
      </c>
      <c r="G224" s="88" t="s">
        <v>587</v>
      </c>
      <c r="H224" s="88" t="s">
        <v>560</v>
      </c>
      <c r="I224" s="89" t="s">
        <v>18</v>
      </c>
      <c r="J224" s="93"/>
      <c r="K224" s="30">
        <f>VLOOKUP(A224,CCPA_AggregateDataFile!$A:$DU,76,0)</f>
        <v>1580174.8199999998</v>
      </c>
      <c r="L224" s="34">
        <f>VLOOKUP($B224,QualitativeNotes!B:C,2,FALSE)</f>
        <v>0</v>
      </c>
    </row>
    <row r="225" spans="1:12" ht="30" x14ac:dyDescent="0.25">
      <c r="A225" s="85">
        <v>45291</v>
      </c>
      <c r="B225" s="86" t="s">
        <v>314</v>
      </c>
      <c r="C225" s="87" t="s">
        <v>307</v>
      </c>
      <c r="D225" s="87" t="s">
        <v>315</v>
      </c>
      <c r="E225" s="87" t="s">
        <v>19</v>
      </c>
      <c r="F225" s="88" t="s">
        <v>525</v>
      </c>
      <c r="G225" s="88" t="s">
        <v>587</v>
      </c>
      <c r="H225" s="88" t="s">
        <v>560</v>
      </c>
      <c r="I225" s="89" t="s">
        <v>18</v>
      </c>
      <c r="J225" s="93"/>
      <c r="K225" s="30">
        <f>VLOOKUP(A225,CCPA_AggregateDataFile!$A:$DU,77,0)</f>
        <v>178081138.78999999</v>
      </c>
      <c r="L225" s="34">
        <f>VLOOKUP($B225,QualitativeNotes!B:C,2,FALSE)</f>
        <v>0</v>
      </c>
    </row>
    <row r="226" spans="1:12" ht="30" x14ac:dyDescent="0.25">
      <c r="A226" s="85">
        <v>45291</v>
      </c>
      <c r="B226" s="86" t="s">
        <v>316</v>
      </c>
      <c r="C226" s="87" t="s">
        <v>307</v>
      </c>
      <c r="D226" s="87" t="s">
        <v>317</v>
      </c>
      <c r="E226" s="87" t="s">
        <v>19</v>
      </c>
      <c r="F226" s="88" t="s">
        <v>525</v>
      </c>
      <c r="G226" s="88" t="s">
        <v>587</v>
      </c>
      <c r="H226" s="88" t="s">
        <v>560</v>
      </c>
      <c r="I226" s="89" t="s">
        <v>18</v>
      </c>
      <c r="J226" s="93"/>
      <c r="K226" s="30">
        <f>VLOOKUP(A226,CCPA_AggregateDataFile!$A:$DU,78,0)</f>
        <v>178081138.78999999</v>
      </c>
      <c r="L226" s="34">
        <f>VLOOKUP($B226,QualitativeNotes!B:C,2,FALSE)</f>
        <v>0</v>
      </c>
    </row>
    <row r="227" spans="1:12" ht="92.25" customHeight="1" x14ac:dyDescent="0.25">
      <c r="A227" s="85">
        <v>45291</v>
      </c>
      <c r="B227" s="86" t="s">
        <v>318</v>
      </c>
      <c r="C227" s="87" t="s">
        <v>307</v>
      </c>
      <c r="D227" s="87" t="s">
        <v>319</v>
      </c>
      <c r="E227" s="87" t="s">
        <v>4</v>
      </c>
      <c r="F227" s="88" t="s">
        <v>525</v>
      </c>
      <c r="G227" s="88" t="s">
        <v>587</v>
      </c>
      <c r="H227" s="88" t="s">
        <v>560</v>
      </c>
      <c r="I227" s="89" t="s">
        <v>18</v>
      </c>
      <c r="J227" s="93"/>
      <c r="K227" s="17" t="str">
        <f>VLOOKUP(A227,CCPA_AggregateDataFile!$A:$DU,79,0)</f>
        <v>The Default Fund contributions of clearing members are held on CCP.A's balance sheet</v>
      </c>
      <c r="L227" s="34">
        <f>VLOOKUP($B227,QualitativeNotes!B:C,2,FALSE)</f>
        <v>0</v>
      </c>
    </row>
    <row r="228" spans="1:12" ht="30" x14ac:dyDescent="0.25">
      <c r="A228" s="85">
        <v>45291</v>
      </c>
      <c r="B228" s="86" t="s">
        <v>320</v>
      </c>
      <c r="C228" s="87" t="s">
        <v>307</v>
      </c>
      <c r="D228" s="87" t="s">
        <v>321</v>
      </c>
      <c r="E228" s="87" t="s">
        <v>4</v>
      </c>
      <c r="F228" s="88" t="s">
        <v>525</v>
      </c>
      <c r="G228" s="88" t="s">
        <v>587</v>
      </c>
      <c r="H228" s="88" t="s">
        <v>560</v>
      </c>
      <c r="I228" s="89" t="s">
        <v>18</v>
      </c>
      <c r="J228" s="93"/>
      <c r="K228" s="17" t="str">
        <f>VLOOKUP(A228,CCPA_AggregateDataFile!$A:$DU,80,0)</f>
        <v>n/a</v>
      </c>
      <c r="L228" s="34">
        <f>VLOOKUP($B228,QualitativeNotes!B:C,2,FALSE)</f>
        <v>0</v>
      </c>
    </row>
    <row r="229" spans="1:12" ht="30" x14ac:dyDescent="0.25">
      <c r="A229" s="85">
        <v>45291</v>
      </c>
      <c r="B229" s="86" t="s">
        <v>323</v>
      </c>
      <c r="C229" s="87" t="s">
        <v>322</v>
      </c>
      <c r="D229" s="87" t="s">
        <v>324</v>
      </c>
      <c r="E229" s="87" t="s">
        <v>113</v>
      </c>
      <c r="F229" s="88" t="s">
        <v>525</v>
      </c>
      <c r="G229" s="88" t="s">
        <v>587</v>
      </c>
      <c r="H229" s="88" t="s">
        <v>560</v>
      </c>
      <c r="I229" s="89" t="s">
        <v>18</v>
      </c>
      <c r="J229" s="93"/>
      <c r="K229" s="33">
        <f>VLOOKUP(A229,CCPA_AggregateDataFile!$A:$DU,81,0)</f>
        <v>1</v>
      </c>
      <c r="L229" s="34">
        <f>VLOOKUP($B229,QualitativeNotes!B:C,2,FALSE)</f>
        <v>0</v>
      </c>
    </row>
    <row r="230" spans="1:12" ht="45" x14ac:dyDescent="0.25">
      <c r="A230" s="85">
        <v>45291</v>
      </c>
      <c r="B230" s="86" t="s">
        <v>325</v>
      </c>
      <c r="C230" s="87" t="s">
        <v>322</v>
      </c>
      <c r="D230" s="87" t="s">
        <v>326</v>
      </c>
      <c r="E230" s="87" t="s">
        <v>113</v>
      </c>
      <c r="F230" s="88" t="s">
        <v>525</v>
      </c>
      <c r="G230" s="88" t="s">
        <v>587</v>
      </c>
      <c r="H230" s="88" t="s">
        <v>560</v>
      </c>
      <c r="I230" s="89" t="s">
        <v>18</v>
      </c>
      <c r="J230" s="93"/>
      <c r="K230" s="33">
        <f>VLOOKUP(A230,CCPA_AggregateDataFile!$A:$DU,82,0)</f>
        <v>0</v>
      </c>
      <c r="L230" s="34">
        <f>VLOOKUP($B230,QualitativeNotes!B:C,2,FALSE)</f>
        <v>0</v>
      </c>
    </row>
    <row r="231" spans="1:12" ht="90" x14ac:dyDescent="0.25">
      <c r="A231" s="85">
        <v>45291</v>
      </c>
      <c r="B231" s="86" t="s">
        <v>328</v>
      </c>
      <c r="C231" s="87" t="s">
        <v>327</v>
      </c>
      <c r="D231" s="87" t="s">
        <v>329</v>
      </c>
      <c r="E231" s="87" t="s">
        <v>19</v>
      </c>
      <c r="F231" s="88" t="s">
        <v>525</v>
      </c>
      <c r="G231" s="88" t="s">
        <v>587</v>
      </c>
      <c r="H231" s="88" t="s">
        <v>560</v>
      </c>
      <c r="I231" s="89" t="s">
        <v>18</v>
      </c>
      <c r="J231" s="93"/>
      <c r="K231" s="30">
        <f>VLOOKUP(A231,CCPA_AggregateDataFile!$A:$DU,83,0)</f>
        <v>647401.18000000005</v>
      </c>
      <c r="L231" s="34">
        <f>VLOOKUP($B231,QualitativeNotes!B:C,2,FALSE)</f>
        <v>0</v>
      </c>
    </row>
    <row r="232" spans="1:12" ht="90" x14ac:dyDescent="0.25">
      <c r="A232" s="85">
        <v>45291</v>
      </c>
      <c r="B232" s="86" t="s">
        <v>330</v>
      </c>
      <c r="C232" s="87" t="s">
        <v>327</v>
      </c>
      <c r="D232" s="87" t="s">
        <v>331</v>
      </c>
      <c r="E232" s="87" t="s">
        <v>19</v>
      </c>
      <c r="F232" s="88" t="s">
        <v>525</v>
      </c>
      <c r="G232" s="88" t="s">
        <v>587</v>
      </c>
      <c r="H232" s="88" t="s">
        <v>560</v>
      </c>
      <c r="I232" s="89" t="s">
        <v>18</v>
      </c>
      <c r="J232" s="93"/>
      <c r="K232" s="30">
        <f>VLOOKUP(A232,CCPA_AggregateDataFile!$A:$DU,84,0)</f>
        <v>28165835.539999999</v>
      </c>
      <c r="L232" s="34">
        <f>VLOOKUP($B232,QualitativeNotes!B:C,2,FALSE)</f>
        <v>0</v>
      </c>
    </row>
    <row r="233" spans="1:12" ht="45" x14ac:dyDescent="0.25">
      <c r="A233" s="85">
        <v>45291</v>
      </c>
      <c r="B233" s="86" t="s">
        <v>333</v>
      </c>
      <c r="C233" s="87" t="s">
        <v>332</v>
      </c>
      <c r="D233" s="87" t="s">
        <v>334</v>
      </c>
      <c r="E233" s="87" t="s">
        <v>113</v>
      </c>
      <c r="F233" s="88" t="s">
        <v>525</v>
      </c>
      <c r="G233" s="88" t="s">
        <v>587</v>
      </c>
      <c r="H233" s="88" t="s">
        <v>560</v>
      </c>
      <c r="I233" s="89" t="s">
        <v>18</v>
      </c>
      <c r="J233" s="93"/>
      <c r="K233" s="33">
        <f>VLOOKUP(A233,CCPA_AggregateDataFile!$A:$DU,85,0)</f>
        <v>1</v>
      </c>
      <c r="L233" s="34">
        <f>VLOOKUP($B233,QualitativeNotes!B:C,2,FALSE)</f>
        <v>0</v>
      </c>
    </row>
    <row r="234" spans="1:12" ht="59.25" customHeight="1" x14ac:dyDescent="0.25">
      <c r="A234" s="85">
        <v>45291</v>
      </c>
      <c r="B234" s="86" t="s">
        <v>335</v>
      </c>
      <c r="C234" s="87" t="s">
        <v>332</v>
      </c>
      <c r="D234" s="87" t="s">
        <v>336</v>
      </c>
      <c r="E234" s="87" t="s">
        <v>113</v>
      </c>
      <c r="F234" s="88" t="s">
        <v>525</v>
      </c>
      <c r="G234" s="88" t="s">
        <v>587</v>
      </c>
      <c r="H234" s="88" t="s">
        <v>560</v>
      </c>
      <c r="I234" s="89" t="s">
        <v>18</v>
      </c>
      <c r="J234" s="93"/>
      <c r="K234" s="33">
        <f>VLOOKUP(A234,CCPA_AggregateDataFile!$A:$DU,86,0)</f>
        <v>0.97753111924594638</v>
      </c>
      <c r="L234" s="34">
        <f>VLOOKUP($B234,QualitativeNotes!B:C,2,FALSE)</f>
        <v>0</v>
      </c>
    </row>
    <row r="235" spans="1:12" ht="45" x14ac:dyDescent="0.25">
      <c r="A235" s="85">
        <v>45291</v>
      </c>
      <c r="B235" s="86" t="s">
        <v>337</v>
      </c>
      <c r="C235" s="87" t="s">
        <v>332</v>
      </c>
      <c r="D235" s="87" t="s">
        <v>338</v>
      </c>
      <c r="E235" s="87" t="s">
        <v>113</v>
      </c>
      <c r="F235" s="88" t="s">
        <v>525</v>
      </c>
      <c r="G235" s="88" t="s">
        <v>587</v>
      </c>
      <c r="H235" s="88" t="s">
        <v>560</v>
      </c>
      <c r="I235" s="89" t="s">
        <v>18</v>
      </c>
      <c r="J235" s="93"/>
      <c r="K235" s="33">
        <f>VLOOKUP(A235,CCPA_AggregateDataFile!$A:$DU,87,0)</f>
        <v>0</v>
      </c>
      <c r="L235" s="34">
        <f>VLOOKUP($B235,QualitativeNotes!B:C,2,FALSE)</f>
        <v>0</v>
      </c>
    </row>
    <row r="236" spans="1:12" ht="60" x14ac:dyDescent="0.25">
      <c r="A236" s="85">
        <v>45291</v>
      </c>
      <c r="B236" s="86" t="s">
        <v>339</v>
      </c>
      <c r="C236" s="87" t="s">
        <v>332</v>
      </c>
      <c r="D236" s="87" t="s">
        <v>340</v>
      </c>
      <c r="E236" s="87" t="s">
        <v>113</v>
      </c>
      <c r="F236" s="88" t="s">
        <v>525</v>
      </c>
      <c r="G236" s="88" t="s">
        <v>587</v>
      </c>
      <c r="H236" s="88" t="s">
        <v>560</v>
      </c>
      <c r="I236" s="89" t="s">
        <v>18</v>
      </c>
      <c r="J236" s="93"/>
      <c r="K236" s="33">
        <f>VLOOKUP(A236,CCPA_AggregateDataFile!$A:$DU,88,0)</f>
        <v>0</v>
      </c>
      <c r="L236" s="34">
        <f>VLOOKUP($B236,QualitativeNotes!B:C,2,FALSE)</f>
        <v>0</v>
      </c>
    </row>
    <row r="237" spans="1:12" ht="45" x14ac:dyDescent="0.25">
      <c r="A237" s="85">
        <v>45291</v>
      </c>
      <c r="B237" s="86" t="s">
        <v>341</v>
      </c>
      <c r="C237" s="87" t="s">
        <v>332</v>
      </c>
      <c r="D237" s="87" t="s">
        <v>342</v>
      </c>
      <c r="E237" s="87" t="s">
        <v>113</v>
      </c>
      <c r="F237" s="88" t="s">
        <v>525</v>
      </c>
      <c r="G237" s="88" t="s">
        <v>587</v>
      </c>
      <c r="H237" s="88" t="s">
        <v>560</v>
      </c>
      <c r="I237" s="89" t="s">
        <v>18</v>
      </c>
      <c r="J237" s="93"/>
      <c r="K237" s="33">
        <f>VLOOKUP(A237,CCPA_AggregateDataFile!$A:$DU,89,0)</f>
        <v>2.2468880754053656E-2</v>
      </c>
      <c r="L237" s="34">
        <f>VLOOKUP($B237,QualitativeNotes!B:C,2,FALSE)</f>
        <v>0</v>
      </c>
    </row>
    <row r="238" spans="1:12" ht="45" x14ac:dyDescent="0.25">
      <c r="A238" s="85">
        <v>45291</v>
      </c>
      <c r="B238" s="86" t="s">
        <v>343</v>
      </c>
      <c r="C238" s="87" t="s">
        <v>332</v>
      </c>
      <c r="D238" s="87" t="s">
        <v>344</v>
      </c>
      <c r="E238" s="87" t="s">
        <v>113</v>
      </c>
      <c r="F238" s="88" t="s">
        <v>525</v>
      </c>
      <c r="G238" s="88" t="s">
        <v>587</v>
      </c>
      <c r="H238" s="88" t="s">
        <v>560</v>
      </c>
      <c r="I238" s="89" t="s">
        <v>18</v>
      </c>
      <c r="J238" s="93"/>
      <c r="K238" s="33">
        <f>VLOOKUP(A238,CCPA_AggregateDataFile!$A:$DU,90,0)</f>
        <v>0</v>
      </c>
      <c r="L238" s="34">
        <f>VLOOKUP($B238,QualitativeNotes!B:C,2,FALSE)</f>
        <v>0</v>
      </c>
    </row>
    <row r="239" spans="1:12" ht="45" x14ac:dyDescent="0.25">
      <c r="A239" s="85">
        <v>45291</v>
      </c>
      <c r="B239" s="86" t="s">
        <v>345</v>
      </c>
      <c r="C239" s="87" t="s">
        <v>332</v>
      </c>
      <c r="D239" s="87" t="s">
        <v>346</v>
      </c>
      <c r="E239" s="87" t="s">
        <v>113</v>
      </c>
      <c r="F239" s="88" t="s">
        <v>525</v>
      </c>
      <c r="G239" s="88" t="s">
        <v>587</v>
      </c>
      <c r="H239" s="88" t="s">
        <v>560</v>
      </c>
      <c r="I239" s="89" t="s">
        <v>18</v>
      </c>
      <c r="J239" s="93"/>
      <c r="K239" s="33">
        <f>VLOOKUP(A239,CCPA_AggregateDataFile!$A:$DU,91,0)</f>
        <v>0</v>
      </c>
      <c r="L239" s="34">
        <f>VLOOKUP($B239,QualitativeNotes!B:C,2,FALSE)</f>
        <v>0</v>
      </c>
    </row>
    <row r="240" spans="1:12" ht="75" x14ac:dyDescent="0.25">
      <c r="A240" s="85">
        <v>45291</v>
      </c>
      <c r="B240" s="86" t="s">
        <v>347</v>
      </c>
      <c r="C240" s="87" t="s">
        <v>332</v>
      </c>
      <c r="D240" s="87" t="s">
        <v>348</v>
      </c>
      <c r="E240" s="87" t="s">
        <v>113</v>
      </c>
      <c r="F240" s="88" t="s">
        <v>525</v>
      </c>
      <c r="G240" s="88" t="s">
        <v>587</v>
      </c>
      <c r="H240" s="88" t="s">
        <v>560</v>
      </c>
      <c r="I240" s="89" t="s">
        <v>18</v>
      </c>
      <c r="J240" s="93" t="s">
        <v>548</v>
      </c>
      <c r="K240" s="33" cm="1">
        <f t="array" ref="K240">VLOOKUP(A240&amp;J240,CHOOSE({1,2},CCPA_DataFile_16_2!$A:$A&amp;CCPA_DataFile_16_2!$D:$D,CCPA_DataFile_16_2!$E:$E),2,0)</f>
        <v>0</v>
      </c>
      <c r="L240" s="34">
        <f>VLOOKUP($B240,QualitativeNotes!B:C,2,FALSE)</f>
        <v>0</v>
      </c>
    </row>
    <row r="241" spans="1:12" ht="60" x14ac:dyDescent="0.25">
      <c r="A241" s="85">
        <v>45291</v>
      </c>
      <c r="B241" s="86" t="s">
        <v>351</v>
      </c>
      <c r="C241" s="87" t="s">
        <v>332</v>
      </c>
      <c r="D241" s="87" t="s">
        <v>352</v>
      </c>
      <c r="E241" s="87" t="s">
        <v>113</v>
      </c>
      <c r="F241" s="88" t="s">
        <v>525</v>
      </c>
      <c r="G241" s="88" t="s">
        <v>587</v>
      </c>
      <c r="H241" s="88" t="s">
        <v>560</v>
      </c>
      <c r="I241" s="89" t="s">
        <v>18</v>
      </c>
      <c r="J241" s="93"/>
      <c r="K241" s="33">
        <f>VLOOKUP(A241,CCPA_AggregateDataFile!$A:$DU,92,0)</f>
        <v>0</v>
      </c>
      <c r="L241" s="34">
        <f>VLOOKUP($B241,QualitativeNotes!B:C,2,FALSE)</f>
        <v>0</v>
      </c>
    </row>
    <row r="242" spans="1:12" ht="45" x14ac:dyDescent="0.25">
      <c r="A242" s="85">
        <v>45291</v>
      </c>
      <c r="B242" s="86" t="s">
        <v>354</v>
      </c>
      <c r="C242" s="87" t="s">
        <v>332</v>
      </c>
      <c r="D242" s="87" t="s">
        <v>355</v>
      </c>
      <c r="E242" s="87" t="s">
        <v>113</v>
      </c>
      <c r="F242" s="88" t="s">
        <v>525</v>
      </c>
      <c r="G242" s="88" t="s">
        <v>587</v>
      </c>
      <c r="H242" s="88" t="s">
        <v>560</v>
      </c>
      <c r="I242" s="89" t="s">
        <v>18</v>
      </c>
      <c r="J242" s="93"/>
      <c r="K242" s="33" t="str">
        <f>VLOOKUP(A242,CCPA_AggregateDataFile!$A:$DU,93,0)</f>
        <v>n/a</v>
      </c>
      <c r="L242" s="34">
        <f>VLOOKUP($B242,QualitativeNotes!B:C,2,FALSE)</f>
        <v>0</v>
      </c>
    </row>
    <row r="243" spans="1:12" ht="45" x14ac:dyDescent="0.25">
      <c r="A243" s="85">
        <v>45291</v>
      </c>
      <c r="B243" s="86" t="s">
        <v>356</v>
      </c>
      <c r="C243" s="87" t="s">
        <v>332</v>
      </c>
      <c r="D243" s="87" t="s">
        <v>357</v>
      </c>
      <c r="E243" s="87" t="s">
        <v>113</v>
      </c>
      <c r="F243" s="88" t="s">
        <v>525</v>
      </c>
      <c r="G243" s="88" t="s">
        <v>587</v>
      </c>
      <c r="H243" s="88" t="s">
        <v>560</v>
      </c>
      <c r="I243" s="89" t="s">
        <v>18</v>
      </c>
      <c r="J243" s="93"/>
      <c r="K243" s="33" t="str">
        <f>VLOOKUP(A243,CCPA_AggregateDataFile!$A:$DU,94,0)</f>
        <v>n/a</v>
      </c>
      <c r="L243" s="34">
        <f>VLOOKUP($B243,QualitativeNotes!B:C,2,FALSE)</f>
        <v>0</v>
      </c>
    </row>
    <row r="244" spans="1:12" ht="45" x14ac:dyDescent="0.25">
      <c r="A244" s="85">
        <v>45291</v>
      </c>
      <c r="B244" s="86" t="s">
        <v>358</v>
      </c>
      <c r="C244" s="87" t="s">
        <v>332</v>
      </c>
      <c r="D244" s="87" t="s">
        <v>359</v>
      </c>
      <c r="E244" s="87" t="s">
        <v>113</v>
      </c>
      <c r="F244" s="88" t="s">
        <v>525</v>
      </c>
      <c r="G244" s="88" t="s">
        <v>587</v>
      </c>
      <c r="H244" s="88" t="s">
        <v>560</v>
      </c>
      <c r="I244" s="89" t="s">
        <v>18</v>
      </c>
      <c r="J244" s="93"/>
      <c r="K244" s="33" t="str">
        <f>VLOOKUP(A244,CCPA_AggregateDataFile!$A:$DU,95,0)</f>
        <v>n/a</v>
      </c>
      <c r="L244" s="34">
        <f>VLOOKUP($B244,QualitativeNotes!B:C,2,FALSE)</f>
        <v>0</v>
      </c>
    </row>
    <row r="245" spans="1:12" ht="45" x14ac:dyDescent="0.25">
      <c r="A245" s="85">
        <v>45291</v>
      </c>
      <c r="B245" s="86" t="s">
        <v>360</v>
      </c>
      <c r="C245" s="87" t="s">
        <v>332</v>
      </c>
      <c r="D245" s="87" t="s">
        <v>361</v>
      </c>
      <c r="E245" s="87" t="s">
        <v>113</v>
      </c>
      <c r="F245" s="88" t="s">
        <v>525</v>
      </c>
      <c r="G245" s="88" t="s">
        <v>587</v>
      </c>
      <c r="H245" s="88" t="s">
        <v>560</v>
      </c>
      <c r="I245" s="89" t="s">
        <v>18</v>
      </c>
      <c r="J245" s="93"/>
      <c r="K245" s="33" t="str">
        <f>VLOOKUP(A245,CCPA_AggregateDataFile!$A:$DU,96,0)</f>
        <v>n/a</v>
      </c>
      <c r="L245" s="34">
        <f>VLOOKUP($B245,QualitativeNotes!B:C,2,FALSE)</f>
        <v>0</v>
      </c>
    </row>
    <row r="246" spans="1:12" ht="45" x14ac:dyDescent="0.25">
      <c r="A246" s="85">
        <v>45291</v>
      </c>
      <c r="B246" s="86" t="s">
        <v>362</v>
      </c>
      <c r="C246" s="87" t="s">
        <v>332</v>
      </c>
      <c r="D246" s="87" t="s">
        <v>363</v>
      </c>
      <c r="E246" s="87" t="s">
        <v>113</v>
      </c>
      <c r="F246" s="88" t="s">
        <v>525</v>
      </c>
      <c r="G246" s="88" t="s">
        <v>587</v>
      </c>
      <c r="H246" s="88" t="s">
        <v>560</v>
      </c>
      <c r="I246" s="89" t="s">
        <v>18</v>
      </c>
      <c r="J246" s="93"/>
      <c r="K246" s="33" t="str">
        <f>VLOOKUP(A246,CCPA_AggregateDataFile!$A:$DU,97,0)</f>
        <v>n/a</v>
      </c>
      <c r="L246" s="34">
        <f>VLOOKUP($B246,QualitativeNotes!B:C,2,FALSE)</f>
        <v>0</v>
      </c>
    </row>
    <row r="247" spans="1:12" ht="45" x14ac:dyDescent="0.25">
      <c r="A247" s="85">
        <v>45291</v>
      </c>
      <c r="B247" s="86" t="s">
        <v>364</v>
      </c>
      <c r="C247" s="87" t="s">
        <v>332</v>
      </c>
      <c r="D247" s="87" t="s">
        <v>365</v>
      </c>
      <c r="E247" s="87" t="s">
        <v>113</v>
      </c>
      <c r="F247" s="88" t="s">
        <v>525</v>
      </c>
      <c r="G247" s="88" t="s">
        <v>587</v>
      </c>
      <c r="H247" s="88" t="s">
        <v>560</v>
      </c>
      <c r="I247" s="89" t="s">
        <v>18</v>
      </c>
      <c r="J247" s="93" t="s">
        <v>548</v>
      </c>
      <c r="K247" s="33" cm="1">
        <f t="array" ref="K247">VLOOKUP(A247&amp;J247,CHOOSE({1,2},CCPA_DataFile_16_2!$A:$A&amp;CCPA_DataFile_16_2!$D:$D,CCPA_DataFile_16_2!$F:$F),2,0)</f>
        <v>0</v>
      </c>
      <c r="L247" s="34">
        <f>VLOOKUP($B247,QualitativeNotes!B:C,2,FALSE)</f>
        <v>0</v>
      </c>
    </row>
    <row r="248" spans="1:12" ht="45" x14ac:dyDescent="0.25">
      <c r="A248" s="85">
        <v>45291</v>
      </c>
      <c r="B248" s="86" t="s">
        <v>367</v>
      </c>
      <c r="C248" s="87" t="s">
        <v>332</v>
      </c>
      <c r="D248" s="87" t="s">
        <v>368</v>
      </c>
      <c r="E248" s="87" t="s">
        <v>42</v>
      </c>
      <c r="F248" s="88" t="s">
        <v>525</v>
      </c>
      <c r="G248" s="88" t="s">
        <v>587</v>
      </c>
      <c r="H248" s="88" t="s">
        <v>560</v>
      </c>
      <c r="I248" s="89" t="s">
        <v>18</v>
      </c>
      <c r="J248" s="93"/>
      <c r="K248" s="30" t="str">
        <f>VLOOKUP(A248,CCPA_AggregateDataFile!$A:$DU,98,0)</f>
        <v>n/a</v>
      </c>
      <c r="L248" s="34">
        <f>VLOOKUP($B248,QualitativeNotes!B:C,2,FALSE)</f>
        <v>0</v>
      </c>
    </row>
    <row r="249" spans="1:12" ht="45" x14ac:dyDescent="0.25">
      <c r="A249" s="85">
        <v>45291</v>
      </c>
      <c r="B249" s="86" t="s">
        <v>369</v>
      </c>
      <c r="C249" s="87" t="s">
        <v>332</v>
      </c>
      <c r="D249" s="87" t="s">
        <v>370</v>
      </c>
      <c r="E249" s="87" t="s">
        <v>4</v>
      </c>
      <c r="F249" s="88" t="s">
        <v>525</v>
      </c>
      <c r="G249" s="88" t="s">
        <v>587</v>
      </c>
      <c r="H249" s="88" t="s">
        <v>560</v>
      </c>
      <c r="I249" s="89" t="s">
        <v>18</v>
      </c>
      <c r="J249" s="93"/>
      <c r="K249" s="17" t="str">
        <f>VLOOKUP(A249,CCPA_AggregateDataFile!$A:$DU,99,0)</f>
        <v>n/a</v>
      </c>
      <c r="L249" s="34">
        <f>VLOOKUP($B249,QualitativeNotes!B:C,2,FALSE)</f>
        <v>0</v>
      </c>
    </row>
    <row r="250" spans="1:12" ht="74.25" customHeight="1" x14ac:dyDescent="0.25">
      <c r="A250" s="85">
        <v>45291</v>
      </c>
      <c r="B250" s="86" t="s">
        <v>371</v>
      </c>
      <c r="C250" s="87" t="s">
        <v>332</v>
      </c>
      <c r="D250" s="87" t="s">
        <v>372</v>
      </c>
      <c r="E250" s="87" t="s">
        <v>4</v>
      </c>
      <c r="F250" s="88" t="s">
        <v>525</v>
      </c>
      <c r="G250" s="88" t="s">
        <v>587</v>
      </c>
      <c r="H250" s="88" t="s">
        <v>560</v>
      </c>
      <c r="I250" s="89" t="s">
        <v>18</v>
      </c>
      <c r="J250" s="93"/>
      <c r="K250" s="17" t="str">
        <f>VLOOKUP(A250,CCPA_AggregateDataFile!$A:$DU,100,0)</f>
        <v>https://www.ccpa.at/uploads/u/ccpa/PDF/Risk_Management/Investment_Policy_V7.2.pdf</v>
      </c>
      <c r="L250" s="34">
        <f>VLOOKUP($B250,QualitativeNotes!B:C,2,FALSE)</f>
        <v>0</v>
      </c>
    </row>
    <row r="251" spans="1:12" ht="45" x14ac:dyDescent="0.25">
      <c r="A251" s="85">
        <v>45291</v>
      </c>
      <c r="B251" s="86" t="s">
        <v>373</v>
      </c>
      <c r="C251" s="87" t="s">
        <v>332</v>
      </c>
      <c r="D251" s="87" t="s">
        <v>374</v>
      </c>
      <c r="E251" s="87" t="s">
        <v>88</v>
      </c>
      <c r="F251" s="88" t="s">
        <v>525</v>
      </c>
      <c r="G251" s="88" t="s">
        <v>587</v>
      </c>
      <c r="H251" s="88" t="s">
        <v>560</v>
      </c>
      <c r="I251" s="89" t="s">
        <v>18</v>
      </c>
      <c r="J251" s="93"/>
      <c r="K251" s="31">
        <f>VLOOKUP(A251,CCPA_AggregateDataFile!$A:$DU,101,0)</f>
        <v>0</v>
      </c>
      <c r="L251" s="34">
        <f>VLOOKUP($B251,QualitativeNotes!B:C,2,FALSE)</f>
        <v>0</v>
      </c>
    </row>
    <row r="252" spans="1:12" ht="45" x14ac:dyDescent="0.25">
      <c r="A252" s="85">
        <v>45291</v>
      </c>
      <c r="B252" s="86" t="s">
        <v>375</v>
      </c>
      <c r="C252" s="87" t="s">
        <v>332</v>
      </c>
      <c r="D252" s="87" t="s">
        <v>376</v>
      </c>
      <c r="E252" s="87" t="s">
        <v>113</v>
      </c>
      <c r="F252" s="88" t="s">
        <v>525</v>
      </c>
      <c r="G252" s="88" t="s">
        <v>587</v>
      </c>
      <c r="H252" s="88" t="s">
        <v>560</v>
      </c>
      <c r="I252" s="89" t="s">
        <v>18</v>
      </c>
      <c r="J252" s="93"/>
      <c r="K252" s="33">
        <f>VLOOKUP(A252,CCPA_AggregateDataFile!$A:$DU,102,0)</f>
        <v>0</v>
      </c>
      <c r="L252" s="34">
        <f>VLOOKUP($B252,QualitativeNotes!B:C,2,FALSE)</f>
        <v>0</v>
      </c>
    </row>
    <row r="253" spans="1:12" ht="30" x14ac:dyDescent="0.25">
      <c r="A253" s="85">
        <v>45291</v>
      </c>
      <c r="B253" s="86" t="s">
        <v>378</v>
      </c>
      <c r="C253" s="87" t="s">
        <v>377</v>
      </c>
      <c r="D253" s="87" t="s">
        <v>379</v>
      </c>
      <c r="E253" s="87" t="s">
        <v>19</v>
      </c>
      <c r="F253" s="88" t="s">
        <v>525</v>
      </c>
      <c r="G253" s="88" t="s">
        <v>587</v>
      </c>
      <c r="H253" s="88" t="s">
        <v>560</v>
      </c>
      <c r="I253" s="89" t="s">
        <v>18</v>
      </c>
      <c r="J253" s="93"/>
      <c r="K253" s="30" t="str">
        <f>VLOOKUP(A253,CCPA_AggregateDataFile!$A:$DU,103,0)</f>
        <v>n/a</v>
      </c>
      <c r="L253" s="34">
        <f>VLOOKUP($B253,QualitativeNotes!B:C,2,FALSE)</f>
        <v>0</v>
      </c>
    </row>
    <row r="254" spans="1:12" ht="30" x14ac:dyDescent="0.25">
      <c r="A254" s="85">
        <v>45291</v>
      </c>
      <c r="B254" s="86" t="s">
        <v>380</v>
      </c>
      <c r="C254" s="87" t="s">
        <v>377</v>
      </c>
      <c r="D254" s="87" t="s">
        <v>381</v>
      </c>
      <c r="E254" s="87" t="s">
        <v>19</v>
      </c>
      <c r="F254" s="88" t="s">
        <v>525</v>
      </c>
      <c r="G254" s="88" t="s">
        <v>587</v>
      </c>
      <c r="H254" s="88" t="s">
        <v>560</v>
      </c>
      <c r="I254" s="89" t="s">
        <v>18</v>
      </c>
      <c r="J254" s="93"/>
      <c r="K254" s="30" t="str">
        <f>VLOOKUP(A254,CCPA_AggregateDataFile!$A:$DU,104,0)</f>
        <v>n/a</v>
      </c>
      <c r="L254" s="34">
        <f>VLOOKUP($B254,QualitativeNotes!B:C,2,FALSE)</f>
        <v>0</v>
      </c>
    </row>
    <row r="255" spans="1:12" ht="90" x14ac:dyDescent="0.25">
      <c r="A255" s="85">
        <v>45291</v>
      </c>
      <c r="B255" s="86" t="s">
        <v>382</v>
      </c>
      <c r="C255" s="87" t="s">
        <v>377</v>
      </c>
      <c r="D255" s="87" t="s">
        <v>383</v>
      </c>
      <c r="E255" s="87" t="s">
        <v>19</v>
      </c>
      <c r="F255" s="88" t="s">
        <v>525</v>
      </c>
      <c r="G255" s="88" t="s">
        <v>587</v>
      </c>
      <c r="H255" s="88" t="s">
        <v>560</v>
      </c>
      <c r="I255" s="89" t="s">
        <v>18</v>
      </c>
      <c r="J255" s="93" t="s">
        <v>549</v>
      </c>
      <c r="K255" s="30" cm="1">
        <f t="array" ref="K255">VLOOKUP(A255&amp;J255,CHOOSE({1,2},CCPA_DataFile_16_3!$A:$A&amp;CCPA_DataFile_16_3!$D:$D,CCPA_DataFile_16_3!$F:$F),2,0)</f>
        <v>0</v>
      </c>
      <c r="L255" s="34">
        <f>VLOOKUP($B255,QualitativeNotes!B:C,2,FALSE)</f>
        <v>0</v>
      </c>
    </row>
    <row r="256" spans="1:12" ht="90" x14ac:dyDescent="0.25">
      <c r="A256" s="85">
        <v>45291</v>
      </c>
      <c r="B256" s="86" t="s">
        <v>382</v>
      </c>
      <c r="C256" s="87" t="s">
        <v>377</v>
      </c>
      <c r="D256" s="87" t="s">
        <v>383</v>
      </c>
      <c r="E256" s="87" t="s">
        <v>19</v>
      </c>
      <c r="F256" s="88" t="s">
        <v>525</v>
      </c>
      <c r="G256" s="88" t="s">
        <v>587</v>
      </c>
      <c r="H256" s="88" t="s">
        <v>560</v>
      </c>
      <c r="I256" s="89" t="s">
        <v>18</v>
      </c>
      <c r="J256" s="93" t="s">
        <v>550</v>
      </c>
      <c r="K256" s="30" cm="1">
        <f t="array" ref="K256">VLOOKUP(A256&amp;J256,CHOOSE({1,2},CCPA_DataFile_16_3!$A:$A&amp;CCPA_DataFile_16_3!$D:$D,CCPA_DataFile_16_3!$F:$F),2,0)</f>
        <v>0</v>
      </c>
      <c r="L256" s="34">
        <f>VLOOKUP($B256,QualitativeNotes!B:C,2,FALSE)</f>
        <v>0</v>
      </c>
    </row>
    <row r="257" spans="1:12" ht="90" x14ac:dyDescent="0.25">
      <c r="A257" s="85">
        <v>45291</v>
      </c>
      <c r="B257" s="86" t="s">
        <v>382</v>
      </c>
      <c r="C257" s="87" t="s">
        <v>377</v>
      </c>
      <c r="D257" s="87" t="s">
        <v>383</v>
      </c>
      <c r="E257" s="87" t="s">
        <v>19</v>
      </c>
      <c r="F257" s="88" t="s">
        <v>525</v>
      </c>
      <c r="G257" s="88" t="s">
        <v>587</v>
      </c>
      <c r="H257" s="88" t="s">
        <v>560</v>
      </c>
      <c r="I257" s="89" t="s">
        <v>18</v>
      </c>
      <c r="J257" s="93" t="s">
        <v>551</v>
      </c>
      <c r="K257" s="30" cm="1">
        <f t="array" ref="K257">VLOOKUP(A257&amp;J257,CHOOSE({1,2},CCPA_DataFile_16_3!$A:$A&amp;CCPA_DataFile_16_3!$D:$D,CCPA_DataFile_16_3!$F:$F),2,0)</f>
        <v>0</v>
      </c>
      <c r="L257" s="34">
        <f>VLOOKUP($B257,QualitativeNotes!B:C,2,FALSE)</f>
        <v>0</v>
      </c>
    </row>
    <row r="258" spans="1:12" ht="90" x14ac:dyDescent="0.25">
      <c r="A258" s="85">
        <v>45291</v>
      </c>
      <c r="B258" s="86" t="s">
        <v>382</v>
      </c>
      <c r="C258" s="87" t="s">
        <v>377</v>
      </c>
      <c r="D258" s="87" t="s">
        <v>383</v>
      </c>
      <c r="E258" s="87" t="s">
        <v>19</v>
      </c>
      <c r="F258" s="88" t="s">
        <v>525</v>
      </c>
      <c r="G258" s="88" t="s">
        <v>587</v>
      </c>
      <c r="H258" s="88" t="s">
        <v>560</v>
      </c>
      <c r="I258" s="89" t="s">
        <v>18</v>
      </c>
      <c r="J258" s="93" t="s">
        <v>552</v>
      </c>
      <c r="K258" s="30" cm="1">
        <f t="array" ref="K258">VLOOKUP(A258&amp;J258,CHOOSE({1,2},CCPA_DataFile_16_3!$A:$A&amp;CCPA_DataFile_16_3!$D:$D,CCPA_DataFile_16_3!$F:$F),2,0)</f>
        <v>0</v>
      </c>
      <c r="L258" s="34">
        <f>VLOOKUP($B258,QualitativeNotes!B:C,2,FALSE)</f>
        <v>0</v>
      </c>
    </row>
    <row r="259" spans="1:12" ht="90" x14ac:dyDescent="0.25">
      <c r="A259" s="85">
        <v>45291</v>
      </c>
      <c r="B259" s="86" t="s">
        <v>382</v>
      </c>
      <c r="C259" s="87" t="s">
        <v>377</v>
      </c>
      <c r="D259" s="87" t="s">
        <v>383</v>
      </c>
      <c r="E259" s="87" t="s">
        <v>19</v>
      </c>
      <c r="F259" s="88" t="s">
        <v>525</v>
      </c>
      <c r="G259" s="88" t="s">
        <v>587</v>
      </c>
      <c r="H259" s="88" t="s">
        <v>560</v>
      </c>
      <c r="I259" s="89" t="s">
        <v>18</v>
      </c>
      <c r="J259" s="93" t="s">
        <v>553</v>
      </c>
      <c r="K259" s="30" cm="1">
        <f t="array" ref="K259">VLOOKUP(A259&amp;J259,CHOOSE({1,2},CCPA_DataFile_16_3!$A:$A&amp;CCPA_DataFile_16_3!$D:$D,CCPA_DataFile_16_3!$F:$F),2,0)</f>
        <v>0</v>
      </c>
      <c r="L259" s="34">
        <f>VLOOKUP($B259,QualitativeNotes!B:C,2,FALSE)</f>
        <v>0</v>
      </c>
    </row>
    <row r="260" spans="1:12" ht="90" x14ac:dyDescent="0.25">
      <c r="A260" s="85">
        <v>45291</v>
      </c>
      <c r="B260" s="86" t="s">
        <v>382</v>
      </c>
      <c r="C260" s="87" t="s">
        <v>377</v>
      </c>
      <c r="D260" s="87" t="s">
        <v>383</v>
      </c>
      <c r="E260" s="87" t="s">
        <v>19</v>
      </c>
      <c r="F260" s="88" t="s">
        <v>525</v>
      </c>
      <c r="G260" s="88" t="s">
        <v>587</v>
      </c>
      <c r="H260" s="88" t="s">
        <v>560</v>
      </c>
      <c r="I260" s="89" t="s">
        <v>18</v>
      </c>
      <c r="J260" s="93" t="s">
        <v>554</v>
      </c>
      <c r="K260" s="30" cm="1">
        <f t="array" ref="K260">VLOOKUP(A260&amp;J260,CHOOSE({1,2},CCPA_DataFile_16_3!$A:$A&amp;CCPA_DataFile_16_3!$D:$D,CCPA_DataFile_16_3!$F:$F),2,0)</f>
        <v>0</v>
      </c>
      <c r="L260" s="34">
        <f>VLOOKUP($B260,QualitativeNotes!B:C,2,FALSE)</f>
        <v>0</v>
      </c>
    </row>
    <row r="261" spans="1:12" ht="75" x14ac:dyDescent="0.25">
      <c r="A261" s="85">
        <v>45291</v>
      </c>
      <c r="B261" s="86" t="s">
        <v>386</v>
      </c>
      <c r="C261" s="87" t="s">
        <v>377</v>
      </c>
      <c r="D261" s="87" t="s">
        <v>387</v>
      </c>
      <c r="E261" s="87" t="s">
        <v>19</v>
      </c>
      <c r="F261" s="88" t="s">
        <v>525</v>
      </c>
      <c r="G261" s="88" t="s">
        <v>587</v>
      </c>
      <c r="H261" s="88" t="s">
        <v>560</v>
      </c>
      <c r="I261" s="89" t="s">
        <v>18</v>
      </c>
      <c r="J261" s="93" t="s">
        <v>549</v>
      </c>
      <c r="K261" s="30" cm="1">
        <f t="array" ref="K261">VLOOKUP(A261&amp;J261,CHOOSE({1,2},CCPA_DataFile_16_3!$A:$A&amp;CCPA_DataFile_16_3!$D:$D,CCPA_DataFile_16_3!$G:$G),2,0)</f>
        <v>0</v>
      </c>
      <c r="L261" s="34">
        <f>VLOOKUP($B261,QualitativeNotes!B:C,2,FALSE)</f>
        <v>0</v>
      </c>
    </row>
    <row r="262" spans="1:12" ht="75" x14ac:dyDescent="0.25">
      <c r="A262" s="85">
        <v>45291</v>
      </c>
      <c r="B262" s="86" t="s">
        <v>386</v>
      </c>
      <c r="C262" s="87" t="s">
        <v>377</v>
      </c>
      <c r="D262" s="87" t="s">
        <v>387</v>
      </c>
      <c r="E262" s="87" t="s">
        <v>19</v>
      </c>
      <c r="F262" s="88" t="s">
        <v>525</v>
      </c>
      <c r="G262" s="88" t="s">
        <v>587</v>
      </c>
      <c r="H262" s="88" t="s">
        <v>560</v>
      </c>
      <c r="I262" s="89" t="s">
        <v>18</v>
      </c>
      <c r="J262" s="93" t="s">
        <v>550</v>
      </c>
      <c r="K262" s="30" cm="1">
        <f t="array" ref="K262">VLOOKUP(A262&amp;J262,CHOOSE({1,2},CCPA_DataFile_16_3!$A:$A&amp;CCPA_DataFile_16_3!$D:$D,CCPA_DataFile_16_3!$G:$G),2,0)</f>
        <v>0</v>
      </c>
      <c r="L262" s="34">
        <f>VLOOKUP($B262,QualitativeNotes!B:C,2,FALSE)</f>
        <v>0</v>
      </c>
    </row>
    <row r="263" spans="1:12" ht="75" x14ac:dyDescent="0.25">
      <c r="A263" s="85">
        <v>45291</v>
      </c>
      <c r="B263" s="86" t="s">
        <v>386</v>
      </c>
      <c r="C263" s="87" t="s">
        <v>377</v>
      </c>
      <c r="D263" s="87" t="s">
        <v>387</v>
      </c>
      <c r="E263" s="87" t="s">
        <v>19</v>
      </c>
      <c r="F263" s="88" t="s">
        <v>525</v>
      </c>
      <c r="G263" s="88" t="s">
        <v>587</v>
      </c>
      <c r="H263" s="88" t="s">
        <v>560</v>
      </c>
      <c r="I263" s="89" t="s">
        <v>18</v>
      </c>
      <c r="J263" s="93" t="s">
        <v>551</v>
      </c>
      <c r="K263" s="30" cm="1">
        <f t="array" ref="K263">VLOOKUP(A263&amp;J263,CHOOSE({1,2},CCPA_DataFile_16_3!$A:$A&amp;CCPA_DataFile_16_3!$D:$D,CCPA_DataFile_16_3!$G:$G),2,0)</f>
        <v>0</v>
      </c>
      <c r="L263" s="34">
        <f>VLOOKUP($B263,QualitativeNotes!B:C,2,FALSE)</f>
        <v>0</v>
      </c>
    </row>
    <row r="264" spans="1:12" ht="75" x14ac:dyDescent="0.25">
      <c r="A264" s="85">
        <v>45291</v>
      </c>
      <c r="B264" s="86" t="s">
        <v>386</v>
      </c>
      <c r="C264" s="87" t="s">
        <v>377</v>
      </c>
      <c r="D264" s="87" t="s">
        <v>387</v>
      </c>
      <c r="E264" s="87" t="s">
        <v>19</v>
      </c>
      <c r="F264" s="88" t="s">
        <v>525</v>
      </c>
      <c r="G264" s="88" t="s">
        <v>587</v>
      </c>
      <c r="H264" s="88" t="s">
        <v>560</v>
      </c>
      <c r="I264" s="89" t="s">
        <v>18</v>
      </c>
      <c r="J264" s="93" t="s">
        <v>552</v>
      </c>
      <c r="K264" s="30" cm="1">
        <f t="array" ref="K264">VLOOKUP(A264&amp;J264,CHOOSE({1,2},CCPA_DataFile_16_3!$A:$A&amp;CCPA_DataFile_16_3!$D:$D,CCPA_DataFile_16_3!$G:$G),2,0)</f>
        <v>0</v>
      </c>
      <c r="L264" s="34">
        <f>VLOOKUP($B264,QualitativeNotes!B:C,2,FALSE)</f>
        <v>0</v>
      </c>
    </row>
    <row r="265" spans="1:12" ht="75" x14ac:dyDescent="0.25">
      <c r="A265" s="85">
        <v>45291</v>
      </c>
      <c r="B265" s="86" t="s">
        <v>386</v>
      </c>
      <c r="C265" s="87" t="s">
        <v>377</v>
      </c>
      <c r="D265" s="87" t="s">
        <v>387</v>
      </c>
      <c r="E265" s="87" t="s">
        <v>19</v>
      </c>
      <c r="F265" s="88" t="s">
        <v>525</v>
      </c>
      <c r="G265" s="88" t="s">
        <v>587</v>
      </c>
      <c r="H265" s="88" t="s">
        <v>560</v>
      </c>
      <c r="I265" s="89" t="s">
        <v>18</v>
      </c>
      <c r="J265" s="93" t="s">
        <v>553</v>
      </c>
      <c r="K265" s="30" cm="1">
        <f t="array" ref="K265">VLOOKUP(A265&amp;J265,CHOOSE({1,2},CCPA_DataFile_16_3!$A:$A&amp;CCPA_DataFile_16_3!$D:$D,CCPA_DataFile_16_3!$G:$G),2,0)</f>
        <v>0</v>
      </c>
      <c r="L265" s="34">
        <f>VLOOKUP($B265,QualitativeNotes!B:C,2,FALSE)</f>
        <v>0</v>
      </c>
    </row>
    <row r="266" spans="1:12" ht="75" x14ac:dyDescent="0.25">
      <c r="A266" s="85">
        <v>45291</v>
      </c>
      <c r="B266" s="86" t="s">
        <v>386</v>
      </c>
      <c r="C266" s="87" t="s">
        <v>377</v>
      </c>
      <c r="D266" s="87" t="s">
        <v>387</v>
      </c>
      <c r="E266" s="87" t="s">
        <v>19</v>
      </c>
      <c r="F266" s="88" t="s">
        <v>525</v>
      </c>
      <c r="G266" s="88" t="s">
        <v>587</v>
      </c>
      <c r="H266" s="88" t="s">
        <v>560</v>
      </c>
      <c r="I266" s="89" t="s">
        <v>18</v>
      </c>
      <c r="J266" s="93" t="s">
        <v>554</v>
      </c>
      <c r="K266" s="30" cm="1">
        <f t="array" ref="K266">VLOOKUP(A266&amp;J266,CHOOSE({1,2},CCPA_DataFile_16_3!$A:$A&amp;CCPA_DataFile_16_3!$D:$D,CCPA_DataFile_16_3!$G:$G),2,0)</f>
        <v>0</v>
      </c>
      <c r="L266" s="34">
        <f>VLOOKUP($B266,QualitativeNotes!B:C,2,FALSE)</f>
        <v>0</v>
      </c>
    </row>
    <row r="267" spans="1:12" ht="91.5" customHeight="1" x14ac:dyDescent="0.25">
      <c r="A267" s="85">
        <v>45291</v>
      </c>
      <c r="B267" s="86" t="s">
        <v>389</v>
      </c>
      <c r="C267" s="87" t="s">
        <v>388</v>
      </c>
      <c r="D267" s="87" t="s">
        <v>388</v>
      </c>
      <c r="E267" s="87" t="s">
        <v>113</v>
      </c>
      <c r="F267" s="88" t="s">
        <v>530</v>
      </c>
      <c r="G267" s="88" t="s">
        <v>587</v>
      </c>
      <c r="H267" s="88" t="s">
        <v>560</v>
      </c>
      <c r="I267" s="89" t="s">
        <v>18</v>
      </c>
      <c r="J267" s="93"/>
      <c r="K267" s="33">
        <f>VLOOKUP(A267,CCPA_AggregateDataFile!$A:$DU,105,0)</f>
        <v>0.995</v>
      </c>
      <c r="L267" s="34">
        <f>VLOOKUP($B267,QualitativeNotes!B:C,2,FALSE)</f>
        <v>0</v>
      </c>
    </row>
    <row r="268" spans="1:12" ht="30" x14ac:dyDescent="0.25">
      <c r="A268" s="85">
        <v>45291</v>
      </c>
      <c r="B268" s="86" t="s">
        <v>391</v>
      </c>
      <c r="C268" s="87" t="s">
        <v>390</v>
      </c>
      <c r="D268" s="87" t="s">
        <v>390</v>
      </c>
      <c r="E268" s="87" t="s">
        <v>113</v>
      </c>
      <c r="F268" s="88" t="s">
        <v>530</v>
      </c>
      <c r="G268" s="88" t="s">
        <v>587</v>
      </c>
      <c r="H268" s="88" t="s">
        <v>560</v>
      </c>
      <c r="I268" s="89" t="s">
        <v>18</v>
      </c>
      <c r="J268" s="93"/>
      <c r="K268" s="33">
        <f>VLOOKUP(A268,CCPA_AggregateDataFile!$A:$DU,106,0)</f>
        <v>0.99657417548983818</v>
      </c>
      <c r="L268" s="34">
        <f>VLOOKUP($B268,QualitativeNotes!B:C,2,FALSE)</f>
        <v>0</v>
      </c>
    </row>
    <row r="269" spans="1:12" ht="45" x14ac:dyDescent="0.25">
      <c r="A269" s="85">
        <v>45291</v>
      </c>
      <c r="B269" s="86" t="s">
        <v>393</v>
      </c>
      <c r="C269" s="87" t="s">
        <v>392</v>
      </c>
      <c r="D269" s="87" t="s">
        <v>394</v>
      </c>
      <c r="E269" s="87" t="s">
        <v>396</v>
      </c>
      <c r="F269" s="88" t="s">
        <v>530</v>
      </c>
      <c r="G269" s="88" t="s">
        <v>587</v>
      </c>
      <c r="H269" s="88" t="s">
        <v>560</v>
      </c>
      <c r="I269" s="89" t="s">
        <v>18</v>
      </c>
      <c r="J269" s="88" t="s">
        <v>579</v>
      </c>
      <c r="K269" s="95" cm="1">
        <f t="array" ref="K269">VLOOKUP(A269&amp;J269,CHOOSE({1,2},CCPA_DataFile_17_3!$A:$A&amp;CCPA_DataFile_17_3!$D:$D,CCPA_DataFile_17_3!$E:$E),2,0)</f>
        <v>0.39097222222222222</v>
      </c>
      <c r="L269" s="34">
        <f>VLOOKUP($B269,QualitativeNotes!B:C,2,FALSE)</f>
        <v>0</v>
      </c>
    </row>
    <row r="270" spans="1:12" ht="45" x14ac:dyDescent="0.25">
      <c r="A270" s="85">
        <v>45291</v>
      </c>
      <c r="B270" s="86" t="s">
        <v>393</v>
      </c>
      <c r="C270" s="87" t="s">
        <v>392</v>
      </c>
      <c r="D270" s="87" t="s">
        <v>394</v>
      </c>
      <c r="E270" s="87" t="s">
        <v>88</v>
      </c>
      <c r="F270" s="88" t="s">
        <v>530</v>
      </c>
      <c r="G270" s="88" t="s">
        <v>587</v>
      </c>
      <c r="H270" s="88" t="s">
        <v>560</v>
      </c>
      <c r="I270" s="89" t="s">
        <v>18</v>
      </c>
      <c r="J270" s="88" t="s">
        <v>580</v>
      </c>
      <c r="K270" s="31" cm="1">
        <f t="array" ref="K270">VLOOKUP(A270&amp;J270,CHOOSE({1,2},CCPA_DataFile_17_3!$A:$A&amp;CCPA_DataFile_17_3!$D:$D,CCPA_DataFile_17_3!$E:$E),2,0)</f>
        <v>10</v>
      </c>
      <c r="L270" s="34">
        <f>VLOOKUP($B270,QualitativeNotes!B:C,2,FALSE)</f>
        <v>0</v>
      </c>
    </row>
    <row r="271" spans="1:12" x14ac:dyDescent="0.25">
      <c r="A271" s="85">
        <v>45291</v>
      </c>
      <c r="B271" s="86" t="s">
        <v>399</v>
      </c>
      <c r="C271" s="87" t="s">
        <v>398</v>
      </c>
      <c r="D271" s="87" t="s">
        <v>400</v>
      </c>
      <c r="E271" s="87" t="s">
        <v>4</v>
      </c>
      <c r="F271" s="88" t="s">
        <v>525</v>
      </c>
      <c r="G271" s="88" t="s">
        <v>587</v>
      </c>
      <c r="H271" s="88" t="s">
        <v>560</v>
      </c>
      <c r="I271" s="89" t="s">
        <v>18</v>
      </c>
      <c r="J271" s="93"/>
      <c r="K271" s="17" t="str">
        <f>VLOOKUP(A271,CCPA_AggregateDataFile!$A:$DU,107,0)</f>
        <v>within 2 hours</v>
      </c>
      <c r="L271" s="34">
        <f>VLOOKUP($B271,QualitativeNotes!B:C,2,FALSE)</f>
        <v>0</v>
      </c>
    </row>
    <row r="272" spans="1:12" ht="30" x14ac:dyDescent="0.25">
      <c r="A272" s="85">
        <v>45291</v>
      </c>
      <c r="B272" s="86" t="s">
        <v>402</v>
      </c>
      <c r="C272" s="87" t="s">
        <v>401</v>
      </c>
      <c r="D272" s="87" t="s">
        <v>403</v>
      </c>
      <c r="E272" s="87" t="s">
        <v>88</v>
      </c>
      <c r="F272" s="88" t="s">
        <v>525</v>
      </c>
      <c r="G272" s="88" t="s">
        <v>587</v>
      </c>
      <c r="H272" s="88" t="s">
        <v>560</v>
      </c>
      <c r="I272" s="89" t="s">
        <v>18</v>
      </c>
      <c r="J272" s="93"/>
      <c r="K272" s="31">
        <f>VLOOKUP(A272,CCPA_AggregateDataFile!$A:$DU,108,0)</f>
        <v>9</v>
      </c>
      <c r="L272" s="34">
        <f>VLOOKUP($B272,QualitativeNotes!B:C,2,FALSE)</f>
        <v>0</v>
      </c>
    </row>
    <row r="273" spans="1:12" ht="30" x14ac:dyDescent="0.25">
      <c r="A273" s="85">
        <v>45291</v>
      </c>
      <c r="B273" s="86" t="s">
        <v>404</v>
      </c>
      <c r="C273" s="87" t="s">
        <v>401</v>
      </c>
      <c r="D273" s="87" t="s">
        <v>405</v>
      </c>
      <c r="E273" s="87" t="s">
        <v>88</v>
      </c>
      <c r="F273" s="88" t="s">
        <v>525</v>
      </c>
      <c r="G273" s="88" t="s">
        <v>587</v>
      </c>
      <c r="H273" s="88" t="s">
        <v>560</v>
      </c>
      <c r="I273" s="89" t="s">
        <v>18</v>
      </c>
      <c r="J273" s="93"/>
      <c r="K273" s="31">
        <f>VLOOKUP(A273,CCPA_AggregateDataFile!$A:$DU,109,0)</f>
        <v>29</v>
      </c>
      <c r="L273" s="34">
        <f>VLOOKUP($B273,QualitativeNotes!B:C,2,FALSE)</f>
        <v>0</v>
      </c>
    </row>
    <row r="274" spans="1:12" ht="30" x14ac:dyDescent="0.25">
      <c r="A274" s="85">
        <v>45291</v>
      </c>
      <c r="B274" s="86" t="s">
        <v>406</v>
      </c>
      <c r="C274" s="87" t="s">
        <v>401</v>
      </c>
      <c r="D274" s="87" t="s">
        <v>407</v>
      </c>
      <c r="E274" s="87" t="s">
        <v>88</v>
      </c>
      <c r="F274" s="88" t="s">
        <v>525</v>
      </c>
      <c r="G274" s="88" t="s">
        <v>587</v>
      </c>
      <c r="H274" s="88" t="s">
        <v>560</v>
      </c>
      <c r="I274" s="89" t="s">
        <v>18</v>
      </c>
      <c r="J274" s="93"/>
      <c r="K274" s="31" t="str">
        <f>VLOOKUP(A274,CCPA_AggregateDataFile!$A:$DU,110,0)</f>
        <v>n/a</v>
      </c>
      <c r="L274" s="34">
        <f>VLOOKUP($B274,QualitativeNotes!B:C,2,FALSE)</f>
        <v>0</v>
      </c>
    </row>
    <row r="275" spans="1:12" ht="30" x14ac:dyDescent="0.25">
      <c r="A275" s="85">
        <v>45291</v>
      </c>
      <c r="B275" s="86" t="s">
        <v>408</v>
      </c>
      <c r="C275" s="87" t="s">
        <v>401</v>
      </c>
      <c r="D275" s="87" t="s">
        <v>409</v>
      </c>
      <c r="E275" s="87" t="s">
        <v>88</v>
      </c>
      <c r="F275" s="88" t="s">
        <v>525</v>
      </c>
      <c r="G275" s="88" t="s">
        <v>587</v>
      </c>
      <c r="H275" s="88" t="s">
        <v>560</v>
      </c>
      <c r="I275" s="89" t="s">
        <v>18</v>
      </c>
      <c r="J275" s="93"/>
      <c r="K275" s="31">
        <f>VLOOKUP(A275,CCPA_AggregateDataFile!$A:$DU,111,0)</f>
        <v>0</v>
      </c>
      <c r="L275" s="34">
        <f>VLOOKUP($B275,QualitativeNotes!B:C,2,FALSE)</f>
        <v>0</v>
      </c>
    </row>
    <row r="276" spans="1:12" ht="30" x14ac:dyDescent="0.25">
      <c r="A276" s="85">
        <v>45291</v>
      </c>
      <c r="B276" s="86" t="s">
        <v>410</v>
      </c>
      <c r="C276" s="87" t="s">
        <v>401</v>
      </c>
      <c r="D276" s="87" t="s">
        <v>411</v>
      </c>
      <c r="E276" s="87" t="s">
        <v>88</v>
      </c>
      <c r="F276" s="88" t="s">
        <v>525</v>
      </c>
      <c r="G276" s="88" t="s">
        <v>587</v>
      </c>
      <c r="H276" s="88" t="s">
        <v>560</v>
      </c>
      <c r="I276" s="89" t="s">
        <v>18</v>
      </c>
      <c r="J276" s="93"/>
      <c r="K276" s="31">
        <f>VLOOKUP(A276,CCPA_AggregateDataFile!$A:$DU,112,0)</f>
        <v>0</v>
      </c>
      <c r="L276" s="34">
        <f>VLOOKUP($B276,QualitativeNotes!B:C,2,FALSE)</f>
        <v>0</v>
      </c>
    </row>
    <row r="277" spans="1:12" ht="30" x14ac:dyDescent="0.25">
      <c r="A277" s="85">
        <v>45291</v>
      </c>
      <c r="B277" s="86" t="s">
        <v>412</v>
      </c>
      <c r="C277" s="87" t="s">
        <v>401</v>
      </c>
      <c r="D277" s="87" t="s">
        <v>413</v>
      </c>
      <c r="E277" s="87" t="s">
        <v>88</v>
      </c>
      <c r="F277" s="88" t="s">
        <v>525</v>
      </c>
      <c r="G277" s="88" t="s">
        <v>587</v>
      </c>
      <c r="H277" s="88" t="s">
        <v>560</v>
      </c>
      <c r="I277" s="89" t="s">
        <v>18</v>
      </c>
      <c r="J277" s="93"/>
      <c r="K277" s="31">
        <f>VLOOKUP(A277,CCPA_AggregateDataFile!$A:$DU,113,0)</f>
        <v>31</v>
      </c>
      <c r="L277" s="34">
        <f>VLOOKUP($B277,QualitativeNotes!B:C,2,FALSE)</f>
        <v>0</v>
      </c>
    </row>
    <row r="278" spans="1:12" ht="30" x14ac:dyDescent="0.25">
      <c r="A278" s="85">
        <v>45291</v>
      </c>
      <c r="B278" s="86" t="s">
        <v>414</v>
      </c>
      <c r="C278" s="87" t="s">
        <v>401</v>
      </c>
      <c r="D278" s="87" t="s">
        <v>415</v>
      </c>
      <c r="E278" s="87" t="s">
        <v>88</v>
      </c>
      <c r="F278" s="88" t="s">
        <v>525</v>
      </c>
      <c r="G278" s="88" t="s">
        <v>587</v>
      </c>
      <c r="H278" s="88" t="s">
        <v>560</v>
      </c>
      <c r="I278" s="89" t="s">
        <v>18</v>
      </c>
      <c r="J278" s="93"/>
      <c r="K278" s="31">
        <f>VLOOKUP(A278,CCPA_AggregateDataFile!$A:$DU,114,0)</f>
        <v>7</v>
      </c>
      <c r="L278" s="34">
        <f>VLOOKUP($B278,QualitativeNotes!B:C,2,FALSE)</f>
        <v>0</v>
      </c>
    </row>
    <row r="279" spans="1:12" ht="30" x14ac:dyDescent="0.25">
      <c r="A279" s="85">
        <v>45291</v>
      </c>
      <c r="B279" s="86" t="s">
        <v>416</v>
      </c>
      <c r="C279" s="87" t="s">
        <v>401</v>
      </c>
      <c r="D279" s="87" t="s">
        <v>417</v>
      </c>
      <c r="E279" s="87" t="s">
        <v>88</v>
      </c>
      <c r="F279" s="88" t="s">
        <v>525</v>
      </c>
      <c r="G279" s="88" t="s">
        <v>587</v>
      </c>
      <c r="H279" s="88" t="s">
        <v>560</v>
      </c>
      <c r="I279" s="89" t="s">
        <v>18</v>
      </c>
      <c r="J279" s="93"/>
      <c r="K279" s="31">
        <f>VLOOKUP(A279,CCPA_AggregateDataFile!$A:$DU,115,0)</f>
        <v>19</v>
      </c>
      <c r="L279" s="34">
        <f>VLOOKUP($B279,QualitativeNotes!B:C,2,FALSE)</f>
        <v>0</v>
      </c>
    </row>
    <row r="280" spans="1:12" ht="30" x14ac:dyDescent="0.25">
      <c r="A280" s="85">
        <v>45291</v>
      </c>
      <c r="B280" s="86" t="s">
        <v>418</v>
      </c>
      <c r="C280" s="87" t="s">
        <v>401</v>
      </c>
      <c r="D280" s="87" t="s">
        <v>419</v>
      </c>
      <c r="E280" s="87" t="s">
        <v>88</v>
      </c>
      <c r="F280" s="88" t="s">
        <v>525</v>
      </c>
      <c r="G280" s="88" t="s">
        <v>587</v>
      </c>
      <c r="H280" s="88" t="s">
        <v>560</v>
      </c>
      <c r="I280" s="89" t="s">
        <v>18</v>
      </c>
      <c r="J280" s="93"/>
      <c r="K280" s="31">
        <f>VLOOKUP(A280,CCPA_AggregateDataFile!$A:$DU,116,0)</f>
        <v>19</v>
      </c>
      <c r="L280" s="34">
        <f>VLOOKUP($B280,QualitativeNotes!B:C,2,FALSE)</f>
        <v>0</v>
      </c>
    </row>
    <row r="281" spans="1:12" ht="75" customHeight="1" x14ac:dyDescent="0.25">
      <c r="A281" s="85">
        <v>45291</v>
      </c>
      <c r="B281" s="86" t="s">
        <v>421</v>
      </c>
      <c r="C281" s="87" t="s">
        <v>420</v>
      </c>
      <c r="D281" s="87" t="s">
        <v>422</v>
      </c>
      <c r="E281" s="87" t="s">
        <v>113</v>
      </c>
      <c r="F281" s="88" t="s">
        <v>525</v>
      </c>
      <c r="G281" s="88" t="s">
        <v>587</v>
      </c>
      <c r="H281" s="88" t="s">
        <v>560</v>
      </c>
      <c r="I281" s="89" t="s">
        <v>18</v>
      </c>
      <c r="J281" s="93" t="s">
        <v>555</v>
      </c>
      <c r="K281" s="33" t="str" cm="1">
        <f t="array" ref="K281">VLOOKUP(A281&amp;J281,CHOOSE({1,2},CCPA_DataFile_18_2!$A:$A&amp;CCPA_DataFile_18_2!$D:$D,CCPA_DataFile_18_2!$E:$E),2,0)</f>
        <v>n/a</v>
      </c>
      <c r="L281" s="34">
        <f>VLOOKUP($B281,QualitativeNotes!B:C,2,FALSE)</f>
        <v>0</v>
      </c>
    </row>
    <row r="282" spans="1:12" ht="77.25" customHeight="1" x14ac:dyDescent="0.25">
      <c r="A282" s="85">
        <v>45291</v>
      </c>
      <c r="B282" s="86" t="s">
        <v>421</v>
      </c>
      <c r="C282" s="87" t="s">
        <v>420</v>
      </c>
      <c r="D282" s="87" t="s">
        <v>422</v>
      </c>
      <c r="E282" s="87" t="s">
        <v>113</v>
      </c>
      <c r="F282" s="88" t="s">
        <v>525</v>
      </c>
      <c r="G282" s="88" t="s">
        <v>587</v>
      </c>
      <c r="H282" s="88" t="s">
        <v>560</v>
      </c>
      <c r="I282" s="89" t="s">
        <v>18</v>
      </c>
      <c r="J282" s="93" t="s">
        <v>556</v>
      </c>
      <c r="K282" s="33" t="str" cm="1">
        <f t="array" ref="K282">VLOOKUP(A282&amp;J282,CHOOSE({1,2},CCPA_DataFile_18_2!$A:$A&amp;CCPA_DataFile_18_2!$D:$D,CCPA_DataFile_18_2!$E:$E),2,0)</f>
        <v>n/a</v>
      </c>
      <c r="L282" s="34">
        <f>VLOOKUP($B282,QualitativeNotes!B:C,2,FALSE)</f>
        <v>0</v>
      </c>
    </row>
    <row r="283" spans="1:12" ht="60" x14ac:dyDescent="0.25">
      <c r="A283" s="85">
        <v>45291</v>
      </c>
      <c r="B283" s="86" t="s">
        <v>425</v>
      </c>
      <c r="C283" s="87" t="s">
        <v>420</v>
      </c>
      <c r="D283" s="87" t="s">
        <v>426</v>
      </c>
      <c r="E283" s="87" t="s">
        <v>113</v>
      </c>
      <c r="F283" s="88" t="s">
        <v>525</v>
      </c>
      <c r="G283" s="88" t="s">
        <v>587</v>
      </c>
      <c r="H283" s="88" t="s">
        <v>560</v>
      </c>
      <c r="I283" s="89" t="s">
        <v>18</v>
      </c>
      <c r="J283" s="93" t="s">
        <v>555</v>
      </c>
      <c r="K283" s="33" cm="1">
        <f t="array" ref="K283">VLOOKUP(A283&amp;J283,CHOOSE({1,2},CCPA_DataFile_18_2!$A:$A&amp;CCPA_DataFile_18_2!$D:$D,CCPA_DataFile_18_2!$F:$F),2,0)</f>
        <v>0.55774454425970299</v>
      </c>
      <c r="L283" s="34">
        <f>VLOOKUP($B283,QualitativeNotes!B:C,2,FALSE)</f>
        <v>0</v>
      </c>
    </row>
    <row r="284" spans="1:12" ht="60" x14ac:dyDescent="0.25">
      <c r="A284" s="85">
        <v>45291</v>
      </c>
      <c r="B284" s="86" t="s">
        <v>425</v>
      </c>
      <c r="C284" s="87" t="s">
        <v>420</v>
      </c>
      <c r="D284" s="87" t="s">
        <v>426</v>
      </c>
      <c r="E284" s="87" t="s">
        <v>113</v>
      </c>
      <c r="F284" s="88" t="s">
        <v>525</v>
      </c>
      <c r="G284" s="88" t="s">
        <v>587</v>
      </c>
      <c r="H284" s="88" t="s">
        <v>560</v>
      </c>
      <c r="I284" s="89" t="s">
        <v>18</v>
      </c>
      <c r="J284" s="93" t="s">
        <v>556</v>
      </c>
      <c r="K284" s="33" cm="1">
        <f t="array" ref="K284">VLOOKUP(A284&amp;J284,CHOOSE({1,2},CCPA_DataFile_18_2!$A:$A&amp;CCPA_DataFile_18_2!$D:$D,CCPA_DataFile_18_2!$F:$F),2,0)</f>
        <v>0.68037378249373504</v>
      </c>
      <c r="L284" s="34">
        <f>VLOOKUP($B284,QualitativeNotes!B:C,2,FALSE)</f>
        <v>0</v>
      </c>
    </row>
    <row r="285" spans="1:12" ht="60" x14ac:dyDescent="0.25">
      <c r="A285" s="85">
        <v>45291</v>
      </c>
      <c r="B285" s="86" t="s">
        <v>427</v>
      </c>
      <c r="C285" s="87" t="s">
        <v>420</v>
      </c>
      <c r="D285" s="87" t="s">
        <v>428</v>
      </c>
      <c r="E285" s="87" t="s">
        <v>113</v>
      </c>
      <c r="F285" s="88" t="s">
        <v>525</v>
      </c>
      <c r="G285" s="88" t="s">
        <v>587</v>
      </c>
      <c r="H285" s="88" t="s">
        <v>560</v>
      </c>
      <c r="I285" s="89" t="s">
        <v>18</v>
      </c>
      <c r="J285" s="93" t="s">
        <v>555</v>
      </c>
      <c r="K285" s="33" cm="1">
        <f t="array" ref="K285">VLOOKUP(A285&amp;J285,CHOOSE({1,2},CCPA_DataFile_18_2!$A:$A&amp;CCPA_DataFile_18_2!$D:$D,CCPA_DataFile_18_2!$G:$G),2,0)</f>
        <v>0.86942078994921501</v>
      </c>
      <c r="L285" s="34">
        <f>VLOOKUP($B285,QualitativeNotes!B:C,2,FALSE)</f>
        <v>0</v>
      </c>
    </row>
    <row r="286" spans="1:12" ht="60" x14ac:dyDescent="0.25">
      <c r="A286" s="85">
        <v>45291</v>
      </c>
      <c r="B286" s="86" t="s">
        <v>427</v>
      </c>
      <c r="C286" s="87" t="s">
        <v>420</v>
      </c>
      <c r="D286" s="87" t="s">
        <v>428</v>
      </c>
      <c r="E286" s="87" t="s">
        <v>113</v>
      </c>
      <c r="F286" s="88" t="s">
        <v>525</v>
      </c>
      <c r="G286" s="88" t="s">
        <v>587</v>
      </c>
      <c r="H286" s="88" t="s">
        <v>560</v>
      </c>
      <c r="I286" s="89" t="s">
        <v>18</v>
      </c>
      <c r="J286" s="93" t="s">
        <v>556</v>
      </c>
      <c r="K286" s="33" cm="1">
        <f t="array" ref="K286">VLOOKUP(A286&amp;J286,CHOOSE({1,2},CCPA_DataFile_18_2!$A:$A&amp;CCPA_DataFile_18_2!$D:$D,CCPA_DataFile_18_2!$G:$G),2,0)</f>
        <v>0.92091697437875497</v>
      </c>
      <c r="L286" s="34">
        <f>VLOOKUP($B286,QualitativeNotes!B:C,2,FALSE)</f>
        <v>0</v>
      </c>
    </row>
    <row r="287" spans="1:12" ht="78" customHeight="1" x14ac:dyDescent="0.25">
      <c r="A287" s="85">
        <v>45291</v>
      </c>
      <c r="B287" s="86" t="s">
        <v>430</v>
      </c>
      <c r="C287" s="87" t="s">
        <v>429</v>
      </c>
      <c r="D287" s="87" t="s">
        <v>431</v>
      </c>
      <c r="E287" s="87" t="s">
        <v>113</v>
      </c>
      <c r="F287" s="88" t="s">
        <v>525</v>
      </c>
      <c r="G287" s="88" t="s">
        <v>587</v>
      </c>
      <c r="H287" s="88" t="s">
        <v>560</v>
      </c>
      <c r="I287" s="89" t="s">
        <v>18</v>
      </c>
      <c r="J287" s="93" t="s">
        <v>555</v>
      </c>
      <c r="K287" s="33" t="str" cm="1">
        <f t="array" ref="K287">VLOOKUP(A287&amp;J287,CHOOSE({1,2},CCPA_DataFile_18_2!$A:$A&amp;CCPA_DataFile_18_2!$D:$D,CCPA_DataFile_18_2!$H:$H),2,0)</f>
        <v>n/a</v>
      </c>
      <c r="L287" s="34">
        <f>VLOOKUP($B287,QualitativeNotes!B:C,2,FALSE)</f>
        <v>0</v>
      </c>
    </row>
    <row r="288" spans="1:12" ht="75.75" customHeight="1" x14ac:dyDescent="0.25">
      <c r="A288" s="85">
        <v>45291</v>
      </c>
      <c r="B288" s="86" t="s">
        <v>430</v>
      </c>
      <c r="C288" s="87" t="s">
        <v>429</v>
      </c>
      <c r="D288" s="87" t="s">
        <v>431</v>
      </c>
      <c r="E288" s="87" t="s">
        <v>113</v>
      </c>
      <c r="F288" s="88" t="s">
        <v>525</v>
      </c>
      <c r="G288" s="88" t="s">
        <v>587</v>
      </c>
      <c r="H288" s="88" t="s">
        <v>560</v>
      </c>
      <c r="I288" s="89" t="s">
        <v>18</v>
      </c>
      <c r="J288" s="93" t="s">
        <v>556</v>
      </c>
      <c r="K288" s="33" t="str" cm="1">
        <f t="array" ref="K288">VLOOKUP(A288&amp;J288,CHOOSE({1,2},CCPA_DataFile_18_2!$A:$A&amp;CCPA_DataFile_18_2!$D:$D,CCPA_DataFile_18_2!$H:$H),2,0)</f>
        <v>n/a</v>
      </c>
      <c r="L288" s="34">
        <f>VLOOKUP($B288,QualitativeNotes!B:C,2,FALSE)</f>
        <v>0</v>
      </c>
    </row>
    <row r="289" spans="1:12" ht="60" x14ac:dyDescent="0.25">
      <c r="A289" s="85">
        <v>45291</v>
      </c>
      <c r="B289" s="86" t="s">
        <v>432</v>
      </c>
      <c r="C289" s="87" t="s">
        <v>429</v>
      </c>
      <c r="D289" s="87" t="s">
        <v>590</v>
      </c>
      <c r="E289" s="87" t="s">
        <v>113</v>
      </c>
      <c r="F289" s="88" t="s">
        <v>525</v>
      </c>
      <c r="G289" s="88" t="s">
        <v>587</v>
      </c>
      <c r="H289" s="88" t="s">
        <v>560</v>
      </c>
      <c r="I289" s="89" t="s">
        <v>18</v>
      </c>
      <c r="J289" s="93" t="s">
        <v>555</v>
      </c>
      <c r="K289" s="33" cm="1">
        <f t="array" ref="K289">VLOOKUP(A289&amp;J289,CHOOSE({1,2},CCPA_DataFile_18_2!$A:$A&amp;CCPA_DataFile_18_2!$D:$D,CCPA_DataFile_18_2!$I:$I),2,0)</f>
        <v>0.45622359490214204</v>
      </c>
      <c r="L289" s="34">
        <f>VLOOKUP($B289,QualitativeNotes!B:C,2,FALSE)</f>
        <v>0</v>
      </c>
    </row>
    <row r="290" spans="1:12" ht="60" x14ac:dyDescent="0.25">
      <c r="A290" s="85">
        <v>45291</v>
      </c>
      <c r="B290" s="86" t="s">
        <v>432</v>
      </c>
      <c r="C290" s="87" t="s">
        <v>429</v>
      </c>
      <c r="D290" s="87" t="s">
        <v>590</v>
      </c>
      <c r="E290" s="87" t="s">
        <v>113</v>
      </c>
      <c r="F290" s="88" t="s">
        <v>525</v>
      </c>
      <c r="G290" s="88" t="s">
        <v>587</v>
      </c>
      <c r="H290" s="88" t="s">
        <v>560</v>
      </c>
      <c r="I290" s="89" t="s">
        <v>18</v>
      </c>
      <c r="J290" s="93" t="s">
        <v>556</v>
      </c>
      <c r="K290" s="33" cm="1">
        <f t="array" ref="K290">VLOOKUP(A290&amp;J290,CHOOSE({1,2},CCPA_DataFile_18_2!$A:$A&amp;CCPA_DataFile_18_2!$D:$D,CCPA_DataFile_18_2!$I:$I),2,0)</f>
        <v>0.54703155674690107</v>
      </c>
      <c r="L290" s="34">
        <f>VLOOKUP($B290,QualitativeNotes!B:C,2,FALSE)</f>
        <v>0</v>
      </c>
    </row>
    <row r="291" spans="1:12" ht="60" x14ac:dyDescent="0.25">
      <c r="A291" s="85">
        <v>45291</v>
      </c>
      <c r="B291" s="86" t="s">
        <v>434</v>
      </c>
      <c r="C291" s="87" t="s">
        <v>429</v>
      </c>
      <c r="D291" s="87" t="s">
        <v>435</v>
      </c>
      <c r="E291" s="87" t="s">
        <v>113</v>
      </c>
      <c r="F291" s="88" t="s">
        <v>525</v>
      </c>
      <c r="G291" s="88" t="s">
        <v>587</v>
      </c>
      <c r="H291" s="88" t="s">
        <v>560</v>
      </c>
      <c r="I291" s="89" t="s">
        <v>18</v>
      </c>
      <c r="J291" s="93" t="s">
        <v>555</v>
      </c>
      <c r="K291" s="33" cm="1">
        <f t="array" ref="K291">VLOOKUP(A291&amp;J291,CHOOSE({1,2},CCPA_DataFile_18_2!$A:$A&amp;CCPA_DataFile_18_2!$D:$D,CCPA_DataFile_18_2!$J:$J),2,0)</f>
        <v>0.73839477679819099</v>
      </c>
      <c r="L291" s="34">
        <f>VLOOKUP($B291,QualitativeNotes!B:C,2,FALSE)</f>
        <v>0</v>
      </c>
    </row>
    <row r="292" spans="1:12" ht="60" x14ac:dyDescent="0.25">
      <c r="A292" s="85">
        <v>45291</v>
      </c>
      <c r="B292" s="86" t="s">
        <v>434</v>
      </c>
      <c r="C292" s="87" t="s">
        <v>429</v>
      </c>
      <c r="D292" s="87" t="s">
        <v>435</v>
      </c>
      <c r="E292" s="87" t="s">
        <v>113</v>
      </c>
      <c r="F292" s="88" t="s">
        <v>525</v>
      </c>
      <c r="G292" s="88" t="s">
        <v>587</v>
      </c>
      <c r="H292" s="88" t="s">
        <v>560</v>
      </c>
      <c r="I292" s="89" t="s">
        <v>18</v>
      </c>
      <c r="J292" s="93" t="s">
        <v>556</v>
      </c>
      <c r="K292" s="33" cm="1">
        <f t="array" ref="K292">VLOOKUP(A292&amp;J292,CHOOSE({1,2},CCPA_DataFile_18_2!$A:$A&amp;CCPA_DataFile_18_2!$D:$D,CCPA_DataFile_18_2!$J:$J),2,0)</f>
        <v>0.81033224517723401</v>
      </c>
      <c r="L292" s="34">
        <f>VLOOKUP($B292,QualitativeNotes!B:C,2,FALSE)</f>
        <v>0</v>
      </c>
    </row>
    <row r="293" spans="1:12" ht="77.25" customHeight="1" x14ac:dyDescent="0.25">
      <c r="A293" s="85">
        <v>45291</v>
      </c>
      <c r="B293" s="86" t="s">
        <v>437</v>
      </c>
      <c r="C293" s="87" t="s">
        <v>436</v>
      </c>
      <c r="D293" s="87" t="s">
        <v>438</v>
      </c>
      <c r="E293" s="87" t="s">
        <v>113</v>
      </c>
      <c r="F293" s="88" t="s">
        <v>525</v>
      </c>
      <c r="G293" s="88" t="s">
        <v>587</v>
      </c>
      <c r="H293" s="88" t="s">
        <v>560</v>
      </c>
      <c r="I293" s="89" t="s">
        <v>18</v>
      </c>
      <c r="J293" s="93"/>
      <c r="K293" s="33" t="str">
        <f>VLOOKUP(A293,CCPA_AggregateDataFile!$A:$DU,117,0)</f>
        <v>n/a</v>
      </c>
      <c r="L293" s="34">
        <f>VLOOKUP($B293,QualitativeNotes!B:C,2,FALSE)</f>
        <v>0</v>
      </c>
    </row>
    <row r="294" spans="1:12" ht="66.75" customHeight="1" x14ac:dyDescent="0.25">
      <c r="A294" s="85">
        <v>45291</v>
      </c>
      <c r="B294" s="86" t="s">
        <v>439</v>
      </c>
      <c r="C294" s="87" t="s">
        <v>436</v>
      </c>
      <c r="D294" s="87" t="s">
        <v>440</v>
      </c>
      <c r="E294" s="87" t="s">
        <v>113</v>
      </c>
      <c r="F294" s="88" t="s">
        <v>525</v>
      </c>
      <c r="G294" s="88" t="s">
        <v>587</v>
      </c>
      <c r="H294" s="88" t="s">
        <v>560</v>
      </c>
      <c r="I294" s="89" t="s">
        <v>18</v>
      </c>
      <c r="J294" s="93"/>
      <c r="K294" s="33">
        <f>VLOOKUP(A294,CCPA_AggregateDataFile!$A:$DU,118,0)</f>
        <v>0.473931108064164</v>
      </c>
      <c r="L294" s="34">
        <f>VLOOKUP($B294,QualitativeNotes!B:C,2,FALSE)</f>
        <v>0</v>
      </c>
    </row>
    <row r="295" spans="1:12" ht="66.75" customHeight="1" x14ac:dyDescent="0.25">
      <c r="A295" s="85">
        <v>45291</v>
      </c>
      <c r="B295" s="86" t="s">
        <v>441</v>
      </c>
      <c r="C295" s="87" t="s">
        <v>436</v>
      </c>
      <c r="D295" s="87" t="s">
        <v>442</v>
      </c>
      <c r="E295" s="87" t="s">
        <v>113</v>
      </c>
      <c r="F295" s="88" t="s">
        <v>525</v>
      </c>
      <c r="G295" s="88" t="s">
        <v>587</v>
      </c>
      <c r="H295" s="88" t="s">
        <v>560</v>
      </c>
      <c r="I295" s="89" t="s">
        <v>18</v>
      </c>
      <c r="J295" s="93"/>
      <c r="K295" s="33">
        <f>VLOOKUP(A295,CCPA_AggregateDataFile!$A:$DU,119,0)</f>
        <v>0.76763398879755196</v>
      </c>
      <c r="L295" s="34">
        <f>VLOOKUP($B295,QualitativeNotes!B:C,2,FALSE)</f>
        <v>0</v>
      </c>
    </row>
    <row r="296" spans="1:12" ht="45" x14ac:dyDescent="0.25">
      <c r="A296" s="85">
        <v>45291</v>
      </c>
      <c r="B296" s="86" t="s">
        <v>444</v>
      </c>
      <c r="C296" s="87" t="s">
        <v>443</v>
      </c>
      <c r="D296" s="87" t="s">
        <v>445</v>
      </c>
      <c r="E296" s="87" t="s">
        <v>88</v>
      </c>
      <c r="F296" s="88" t="s">
        <v>525</v>
      </c>
      <c r="G296" s="88" t="s">
        <v>587</v>
      </c>
      <c r="H296" s="88" t="s">
        <v>560</v>
      </c>
      <c r="I296" s="89" t="s">
        <v>18</v>
      </c>
      <c r="J296" s="93"/>
      <c r="K296" s="31" t="str">
        <f>VLOOKUP(A296,CCPA_AggregateDataFile!$A:$DU,120,0)</f>
        <v>n/a</v>
      </c>
      <c r="L296" s="34">
        <f>VLOOKUP($B296,QualitativeNotes!B:C,2,FALSE)</f>
        <v>0</v>
      </c>
    </row>
    <row r="297" spans="1:12" ht="45" x14ac:dyDescent="0.25">
      <c r="A297" s="85">
        <v>45291</v>
      </c>
      <c r="B297" s="86" t="s">
        <v>446</v>
      </c>
      <c r="C297" s="87" t="s">
        <v>443</v>
      </c>
      <c r="D297" s="87" t="s">
        <v>447</v>
      </c>
      <c r="E297" s="87" t="s">
        <v>88</v>
      </c>
      <c r="F297" s="88" t="s">
        <v>525</v>
      </c>
      <c r="G297" s="88" t="s">
        <v>587</v>
      </c>
      <c r="H297" s="88" t="s">
        <v>560</v>
      </c>
      <c r="I297" s="89" t="s">
        <v>18</v>
      </c>
      <c r="J297" s="93"/>
      <c r="K297" s="31">
        <f>VLOOKUP(A297,CCPA_AggregateDataFile!$A:$DU,121,0)</f>
        <v>38</v>
      </c>
      <c r="L297" s="34">
        <f>VLOOKUP($B297,QualitativeNotes!B:C,2,FALSE)</f>
        <v>0</v>
      </c>
    </row>
    <row r="298" spans="1:12" ht="45" x14ac:dyDescent="0.25">
      <c r="A298" s="85">
        <v>45291</v>
      </c>
      <c r="B298" s="86" t="s">
        <v>448</v>
      </c>
      <c r="C298" s="87" t="s">
        <v>443</v>
      </c>
      <c r="D298" s="87" t="s">
        <v>449</v>
      </c>
      <c r="E298" s="87" t="s">
        <v>113</v>
      </c>
      <c r="F298" s="88" t="s">
        <v>525</v>
      </c>
      <c r="G298" s="88" t="s">
        <v>587</v>
      </c>
      <c r="H298" s="88" t="s">
        <v>560</v>
      </c>
      <c r="I298" s="89" t="s">
        <v>18</v>
      </c>
      <c r="J298" s="93"/>
      <c r="K298" s="33">
        <f>VLOOKUP(A298,CCPA_AggregateDataFile!$A:$DU,122,0)</f>
        <v>0.60757863324246497</v>
      </c>
      <c r="L298" s="34">
        <f>VLOOKUP($B298,QualitativeNotes!B:C,2,FALSE)</f>
        <v>0</v>
      </c>
    </row>
    <row r="299" spans="1:12" ht="45" x14ac:dyDescent="0.25">
      <c r="A299" s="85">
        <v>45291</v>
      </c>
      <c r="B299" s="86" t="s">
        <v>450</v>
      </c>
      <c r="C299" s="87" t="s">
        <v>443</v>
      </c>
      <c r="D299" s="87" t="s">
        <v>451</v>
      </c>
      <c r="E299" s="87" t="s">
        <v>113</v>
      </c>
      <c r="F299" s="88" t="s">
        <v>525</v>
      </c>
      <c r="G299" s="88" t="s">
        <v>587</v>
      </c>
      <c r="H299" s="88" t="s">
        <v>560</v>
      </c>
      <c r="I299" s="89" t="s">
        <v>18</v>
      </c>
      <c r="J299" s="93"/>
      <c r="K299" s="33">
        <f>VLOOKUP(A299,CCPA_AggregateDataFile!$A:$DU,123,0)</f>
        <v>0.361891268204177</v>
      </c>
      <c r="L299" s="34">
        <f>VLOOKUP($B299,QualitativeNotes!B:C,2,FALSE)</f>
        <v>0</v>
      </c>
    </row>
    <row r="300" spans="1:12" ht="45" x14ac:dyDescent="0.25">
      <c r="A300" s="85">
        <v>45291</v>
      </c>
      <c r="B300" s="86" t="s">
        <v>452</v>
      </c>
      <c r="C300" s="87" t="s">
        <v>443</v>
      </c>
      <c r="D300" s="87" t="s">
        <v>453</v>
      </c>
      <c r="E300" s="87" t="s">
        <v>113</v>
      </c>
      <c r="F300" s="88" t="s">
        <v>525</v>
      </c>
      <c r="G300" s="88" t="s">
        <v>587</v>
      </c>
      <c r="H300" s="88" t="s">
        <v>560</v>
      </c>
      <c r="I300" s="89" t="s">
        <v>18</v>
      </c>
      <c r="J300" s="93"/>
      <c r="K300" s="33">
        <f>VLOOKUP(A300,CCPA_AggregateDataFile!$A:$DU,124,0)</f>
        <v>0.68683052394455801</v>
      </c>
      <c r="L300" s="34">
        <f>VLOOKUP($B300,QualitativeNotes!B:C,2,FALSE)</f>
        <v>0</v>
      </c>
    </row>
    <row r="301" spans="1:12" ht="45" x14ac:dyDescent="0.25">
      <c r="A301" s="85">
        <v>45291</v>
      </c>
      <c r="B301" s="86" t="s">
        <v>454</v>
      </c>
      <c r="C301" s="87" t="s">
        <v>443</v>
      </c>
      <c r="D301" s="87" t="s">
        <v>455</v>
      </c>
      <c r="E301" s="87" t="s">
        <v>113</v>
      </c>
      <c r="F301" s="88" t="s">
        <v>525</v>
      </c>
      <c r="G301" s="88" t="s">
        <v>587</v>
      </c>
      <c r="H301" s="88" t="s">
        <v>560</v>
      </c>
      <c r="I301" s="89" t="s">
        <v>18</v>
      </c>
      <c r="J301" s="93"/>
      <c r="K301" s="33">
        <f>VLOOKUP(A301,CCPA_AggregateDataFile!$A:$DU,125,0)</f>
        <v>0.56773391706263399</v>
      </c>
      <c r="L301" s="34">
        <f>VLOOKUP($B301,QualitativeNotes!B:C,2,FALSE)</f>
        <v>0</v>
      </c>
    </row>
    <row r="302" spans="1:12" ht="30" x14ac:dyDescent="0.25">
      <c r="A302" s="85">
        <v>45291</v>
      </c>
      <c r="B302" s="86" t="s">
        <v>457</v>
      </c>
      <c r="C302" s="87" t="s">
        <v>456</v>
      </c>
      <c r="D302" s="87" t="s">
        <v>458</v>
      </c>
      <c r="E302" s="87" t="s">
        <v>113</v>
      </c>
      <c r="F302" s="88" t="s">
        <v>525</v>
      </c>
      <c r="G302" s="88" t="s">
        <v>587</v>
      </c>
      <c r="H302" s="88" t="s">
        <v>560</v>
      </c>
      <c r="I302" s="88"/>
      <c r="J302" s="93"/>
      <c r="K302" s="33" t="str">
        <f>VLOOKUP(A302,CCPA_DataFile_20a!$A:$R,6,0)</f>
        <v>n/a</v>
      </c>
      <c r="L302" s="34">
        <f>VLOOKUP($B302,QualitativeNotes!B:C,2,FALSE)</f>
        <v>0</v>
      </c>
    </row>
    <row r="303" spans="1:12" ht="62.25" customHeight="1" x14ac:dyDescent="0.25">
      <c r="A303" s="85">
        <v>45291</v>
      </c>
      <c r="B303" s="86" t="s">
        <v>462</v>
      </c>
      <c r="C303" s="87" t="s">
        <v>461</v>
      </c>
      <c r="D303" s="87" t="s">
        <v>463</v>
      </c>
      <c r="E303" s="87" t="s">
        <v>19</v>
      </c>
      <c r="F303" s="88" t="s">
        <v>525</v>
      </c>
      <c r="G303" s="88" t="s">
        <v>587</v>
      </c>
      <c r="H303" s="88" t="s">
        <v>560</v>
      </c>
      <c r="I303" s="88"/>
      <c r="J303" s="93"/>
      <c r="K303" s="30" t="str">
        <f>VLOOKUP(A303,CCPA_DataFile_20a!$A:$R,7,0)</f>
        <v>n/a</v>
      </c>
      <c r="L303" s="34">
        <f>VLOOKUP($B303,QualitativeNotes!B:C,2,FALSE)</f>
        <v>0</v>
      </c>
    </row>
    <row r="304" spans="1:12" ht="60" x14ac:dyDescent="0.25">
      <c r="A304" s="85">
        <v>45291</v>
      </c>
      <c r="B304" s="86" t="s">
        <v>465</v>
      </c>
      <c r="C304" s="87" t="s">
        <v>557</v>
      </c>
      <c r="D304" s="87" t="s">
        <v>466</v>
      </c>
      <c r="E304" s="87" t="s">
        <v>19</v>
      </c>
      <c r="F304" s="88" t="s">
        <v>525</v>
      </c>
      <c r="G304" s="88" t="s">
        <v>587</v>
      </c>
      <c r="H304" s="88" t="s">
        <v>560</v>
      </c>
      <c r="I304" s="88"/>
      <c r="J304" s="93"/>
      <c r="K304" s="30" t="str">
        <f>VLOOKUP(A304,CCPA_DataFile_20b!$A:$G,7,0)</f>
        <v>n/a</v>
      </c>
      <c r="L304" s="34">
        <f>VLOOKUP($B304,QualitativeNotes!B:C,2,FALSE)</f>
        <v>0</v>
      </c>
    </row>
    <row r="305" spans="1:12" ht="90" x14ac:dyDescent="0.25">
      <c r="A305" s="85">
        <v>45291</v>
      </c>
      <c r="B305" s="86" t="s">
        <v>469</v>
      </c>
      <c r="C305" s="87" t="s">
        <v>468</v>
      </c>
      <c r="D305" s="87" t="s">
        <v>470</v>
      </c>
      <c r="E305" s="87" t="s">
        <v>88</v>
      </c>
      <c r="F305" s="88" t="s">
        <v>525</v>
      </c>
      <c r="G305" s="88" t="s">
        <v>587</v>
      </c>
      <c r="H305" s="88" t="s">
        <v>560</v>
      </c>
      <c r="I305" s="88"/>
      <c r="J305" s="93"/>
      <c r="K305" s="31" t="str">
        <f>VLOOKUP(A304,CCPA_DataFile_20a!$A:$R,8,0)</f>
        <v>n/a</v>
      </c>
      <c r="L305" s="34">
        <f>VLOOKUP($B305,QualitativeNotes!B:C,2,FALSE)</f>
        <v>0</v>
      </c>
    </row>
    <row r="306" spans="1:12" ht="30" x14ac:dyDescent="0.25">
      <c r="A306" s="85">
        <v>45291</v>
      </c>
      <c r="B306" s="86" t="s">
        <v>471</v>
      </c>
      <c r="C306" s="87" t="s">
        <v>468</v>
      </c>
      <c r="D306" s="87" t="s">
        <v>472</v>
      </c>
      <c r="E306" s="87" t="s">
        <v>4</v>
      </c>
      <c r="F306" s="88" t="s">
        <v>525</v>
      </c>
      <c r="G306" s="88" t="s">
        <v>587</v>
      </c>
      <c r="H306" s="88" t="s">
        <v>560</v>
      </c>
      <c r="I306" s="88"/>
      <c r="J306" s="93"/>
      <c r="K306" s="17" t="str">
        <f>VLOOKUP(A305,CCPA_DataFile_20a!$A:$R,9,0)</f>
        <v>n/a</v>
      </c>
      <c r="L306" s="34">
        <f>VLOOKUP($B306,QualitativeNotes!B:C,2,FALSE)</f>
        <v>0</v>
      </c>
    </row>
    <row r="307" spans="1:12" ht="30" x14ac:dyDescent="0.25">
      <c r="A307" s="85">
        <v>45291</v>
      </c>
      <c r="B307" s="86" t="s">
        <v>473</v>
      </c>
      <c r="C307" s="87" t="s">
        <v>468</v>
      </c>
      <c r="D307" s="87" t="s">
        <v>474</v>
      </c>
      <c r="E307" s="87" t="s">
        <v>4</v>
      </c>
      <c r="F307" s="88" t="s">
        <v>525</v>
      </c>
      <c r="G307" s="88" t="s">
        <v>587</v>
      </c>
      <c r="H307" s="88" t="s">
        <v>560</v>
      </c>
      <c r="I307" s="88"/>
      <c r="J307" s="93"/>
      <c r="K307" s="17" t="str">
        <f>VLOOKUP(A306,CCPA_DataFile_20a!$A:$R,10,0)</f>
        <v>n/a</v>
      </c>
      <c r="L307" s="34">
        <f>VLOOKUP($B307,QualitativeNotes!B:C,2,FALSE)</f>
        <v>0</v>
      </c>
    </row>
    <row r="308" spans="1:12" ht="45" x14ac:dyDescent="0.25">
      <c r="A308" s="85">
        <v>45291</v>
      </c>
      <c r="B308" s="86" t="s">
        <v>475</v>
      </c>
      <c r="C308" s="87" t="s">
        <v>468</v>
      </c>
      <c r="D308" s="87" t="s">
        <v>476</v>
      </c>
      <c r="E308" s="87" t="s">
        <v>88</v>
      </c>
      <c r="F308" s="88" t="s">
        <v>525</v>
      </c>
      <c r="G308" s="88" t="s">
        <v>587</v>
      </c>
      <c r="H308" s="88" t="s">
        <v>560</v>
      </c>
      <c r="I308" s="88"/>
      <c r="J308" s="93"/>
      <c r="K308" s="31" t="str">
        <f>VLOOKUP(A307,CCPA_DataFile_20a!$A:$R,11,0)</f>
        <v>n/a</v>
      </c>
      <c r="L308" s="34">
        <f>VLOOKUP($B308,QualitativeNotes!B:C,2,FALSE)</f>
        <v>0</v>
      </c>
    </row>
    <row r="309" spans="1:12" ht="30" x14ac:dyDescent="0.25">
      <c r="A309" s="85">
        <v>45291</v>
      </c>
      <c r="B309" s="86" t="s">
        <v>477</v>
      </c>
      <c r="C309" s="87" t="s">
        <v>468</v>
      </c>
      <c r="D309" s="87" t="s">
        <v>206</v>
      </c>
      <c r="E309" s="87" t="s">
        <v>113</v>
      </c>
      <c r="F309" s="88" t="s">
        <v>525</v>
      </c>
      <c r="G309" s="88" t="s">
        <v>587</v>
      </c>
      <c r="H309" s="88" t="s">
        <v>560</v>
      </c>
      <c r="I309" s="88"/>
      <c r="J309" s="93"/>
      <c r="K309" s="33" t="str">
        <f>VLOOKUP(A308,CCPA_DataFile_20a!$A:$R,12,0)</f>
        <v>n/a</v>
      </c>
      <c r="L309" s="34">
        <f>VLOOKUP($B309,QualitativeNotes!B:C,2,FALSE)</f>
        <v>0</v>
      </c>
    </row>
    <row r="310" spans="1:12" ht="76.5" customHeight="1" x14ac:dyDescent="0.25">
      <c r="A310" s="85">
        <v>45291</v>
      </c>
      <c r="B310" s="86" t="s">
        <v>479</v>
      </c>
      <c r="C310" s="87" t="s">
        <v>478</v>
      </c>
      <c r="D310" s="87" t="s">
        <v>480</v>
      </c>
      <c r="E310" s="87" t="s">
        <v>19</v>
      </c>
      <c r="F310" s="88" t="s">
        <v>525</v>
      </c>
      <c r="G310" s="88" t="s">
        <v>587</v>
      </c>
      <c r="H310" s="88" t="s">
        <v>560</v>
      </c>
      <c r="I310" s="88"/>
      <c r="J310" s="93"/>
      <c r="K310" s="30" t="str">
        <f>VLOOKUP(A309,CCPA_DataFile_20a!$A:$R,13,0)</f>
        <v>n/a</v>
      </c>
      <c r="L310" s="34">
        <f>VLOOKUP($B310,QualitativeNotes!B:C,2,FALSE)</f>
        <v>0</v>
      </c>
    </row>
    <row r="311" spans="1:12" ht="30" x14ac:dyDescent="0.25">
      <c r="A311" s="85">
        <v>45291</v>
      </c>
      <c r="B311" s="86" t="s">
        <v>481</v>
      </c>
      <c r="C311" s="87" t="s">
        <v>478</v>
      </c>
      <c r="D311" s="87" t="s">
        <v>482</v>
      </c>
      <c r="E311" s="87" t="s">
        <v>4</v>
      </c>
      <c r="F311" s="88" t="s">
        <v>525</v>
      </c>
      <c r="G311" s="88" t="s">
        <v>587</v>
      </c>
      <c r="H311" s="88" t="s">
        <v>560</v>
      </c>
      <c r="I311" s="88"/>
      <c r="J311" s="93"/>
      <c r="K311" s="17" t="str">
        <f>VLOOKUP(A310,CCPA_DataFile_20a!$A:$R,14,0)</f>
        <v>n/a</v>
      </c>
      <c r="L311" s="34">
        <f>VLOOKUP($B311,QualitativeNotes!B:C,2,FALSE)</f>
        <v>0</v>
      </c>
    </row>
    <row r="312" spans="1:12" ht="75" customHeight="1" x14ac:dyDescent="0.25">
      <c r="A312" s="85">
        <v>45291</v>
      </c>
      <c r="B312" s="86" t="s">
        <v>484</v>
      </c>
      <c r="C312" s="87" t="s">
        <v>483</v>
      </c>
      <c r="D312" s="87" t="s">
        <v>485</v>
      </c>
      <c r="E312" s="87" t="s">
        <v>19</v>
      </c>
      <c r="F312" s="88" t="s">
        <v>525</v>
      </c>
      <c r="G312" s="88" t="s">
        <v>587</v>
      </c>
      <c r="H312" s="88" t="s">
        <v>560</v>
      </c>
      <c r="I312" s="88"/>
      <c r="J312" s="93"/>
      <c r="K312" s="30" t="str">
        <f>VLOOKUP(A311,CCPA_DataFile_20a!$A:$R,15,0)</f>
        <v>n/a</v>
      </c>
      <c r="L312" s="34">
        <f>VLOOKUP($B312,QualitativeNotes!B:C,2,FALSE)</f>
        <v>0</v>
      </c>
    </row>
    <row r="313" spans="1:12" ht="30" x14ac:dyDescent="0.25">
      <c r="A313" s="85">
        <v>45291</v>
      </c>
      <c r="B313" s="86" t="s">
        <v>486</v>
      </c>
      <c r="C313" s="87" t="s">
        <v>483</v>
      </c>
      <c r="D313" s="87" t="s">
        <v>482</v>
      </c>
      <c r="E313" s="87" t="s">
        <v>4</v>
      </c>
      <c r="F313" s="88" t="s">
        <v>525</v>
      </c>
      <c r="G313" s="88" t="s">
        <v>587</v>
      </c>
      <c r="H313" s="88" t="s">
        <v>560</v>
      </c>
      <c r="I313" s="88"/>
      <c r="J313" s="93"/>
      <c r="K313" s="17" t="str">
        <f>VLOOKUP(A312,CCPA_DataFile_20a!$A:$R,16,0)</f>
        <v>n/a</v>
      </c>
      <c r="L313" s="34">
        <f>VLOOKUP($B313,QualitativeNotes!B:C,2,FALSE)</f>
        <v>0</v>
      </c>
    </row>
    <row r="314" spans="1:12" ht="45" x14ac:dyDescent="0.25">
      <c r="A314" s="85">
        <v>45291</v>
      </c>
      <c r="B314" s="86" t="s">
        <v>488</v>
      </c>
      <c r="C314" s="87" t="s">
        <v>487</v>
      </c>
      <c r="D314" s="87" t="s">
        <v>489</v>
      </c>
      <c r="E314" s="87" t="s">
        <v>113</v>
      </c>
      <c r="F314" s="88" t="s">
        <v>525</v>
      </c>
      <c r="G314" s="88" t="s">
        <v>587</v>
      </c>
      <c r="H314" s="88" t="s">
        <v>560</v>
      </c>
      <c r="I314" s="88"/>
      <c r="J314" s="93"/>
      <c r="K314" s="33" t="str">
        <f>VLOOKUP(A313,CCPA_DataFile_20a!$A:$R,17,0)</f>
        <v>n/a</v>
      </c>
      <c r="L314" s="34">
        <f>VLOOKUP($B314,QualitativeNotes!B:C,2,FALSE)</f>
        <v>0</v>
      </c>
    </row>
    <row r="315" spans="1:12" ht="45" x14ac:dyDescent="0.25">
      <c r="A315" s="85">
        <v>45291</v>
      </c>
      <c r="B315" s="86" t="s">
        <v>490</v>
      </c>
      <c r="C315" s="87" t="s">
        <v>487</v>
      </c>
      <c r="D315" s="87" t="s">
        <v>491</v>
      </c>
      <c r="E315" s="87" t="s">
        <v>113</v>
      </c>
      <c r="F315" s="88" t="s">
        <v>525</v>
      </c>
      <c r="G315" s="88" t="s">
        <v>587</v>
      </c>
      <c r="H315" s="88" t="s">
        <v>560</v>
      </c>
      <c r="I315" s="88"/>
      <c r="J315" s="93"/>
      <c r="K315" s="33" t="str">
        <f>VLOOKUP(A314,CCPA_DataFile_20a!$A:$R,18,0)</f>
        <v>n/a</v>
      </c>
      <c r="L315" s="34">
        <f>VLOOKUP($B315,QualitativeNotes!B:C,2,FALSE)</f>
        <v>0</v>
      </c>
    </row>
    <row r="316" spans="1:12" ht="45" customHeight="1" x14ac:dyDescent="0.25">
      <c r="A316" s="85">
        <v>45291</v>
      </c>
      <c r="B316" s="86" t="s">
        <v>493</v>
      </c>
      <c r="C316" s="87" t="s">
        <v>492</v>
      </c>
      <c r="D316" s="87" t="s">
        <v>494</v>
      </c>
      <c r="E316" s="87" t="s">
        <v>88</v>
      </c>
      <c r="F316" s="88" t="s">
        <v>525</v>
      </c>
      <c r="G316" s="88" t="s">
        <v>587</v>
      </c>
      <c r="H316" s="88" t="s">
        <v>560</v>
      </c>
      <c r="I316" s="89" t="s">
        <v>18</v>
      </c>
      <c r="J316" s="93" t="s">
        <v>595</v>
      </c>
      <c r="K316" s="31" cm="1">
        <f t="array" ref="K316">VLOOKUP(A316&amp;J316,CHOOSE({1,2},CCPA_DataFile_23!$A:$A&amp;CCPA_DataFile_23!$I:$I,CCPA_DataFile_23!$F:$F),2,0)</f>
        <v>2423359.14967742</v>
      </c>
      <c r="L316" s="34">
        <f>VLOOKUP($B316,QualitativeNotes!B:C,2,FALSE)</f>
        <v>0</v>
      </c>
    </row>
    <row r="317" spans="1:12" ht="45" customHeight="1" x14ac:dyDescent="0.25">
      <c r="A317" s="85">
        <v>45291</v>
      </c>
      <c r="B317" s="86" t="s">
        <v>493</v>
      </c>
      <c r="C317" s="87" t="s">
        <v>492</v>
      </c>
      <c r="D317" s="87" t="s">
        <v>494</v>
      </c>
      <c r="E317" s="87" t="s">
        <v>88</v>
      </c>
      <c r="F317" s="88" t="s">
        <v>525</v>
      </c>
      <c r="G317" s="88" t="s">
        <v>587</v>
      </c>
      <c r="H317" s="88" t="s">
        <v>560</v>
      </c>
      <c r="I317" s="89" t="s">
        <v>18</v>
      </c>
      <c r="J317" s="93" t="s">
        <v>596</v>
      </c>
      <c r="K317" s="31" cm="1">
        <f t="array" ref="K317">VLOOKUP(A317&amp;J317,CHOOSE({1,2},CCPA_DataFile_23!$A:$A&amp;CCPA_DataFile_23!$I:$I,CCPA_DataFile_23!$F:$F),2,0)</f>
        <v>2403870.9677419402</v>
      </c>
      <c r="L317" s="34">
        <f>VLOOKUP($B317,QualitativeNotes!B:C,2,FALSE)</f>
        <v>0</v>
      </c>
    </row>
    <row r="318" spans="1:12" ht="45" customHeight="1" x14ac:dyDescent="0.25">
      <c r="A318" s="85">
        <v>45291</v>
      </c>
      <c r="B318" s="86" t="s">
        <v>493</v>
      </c>
      <c r="C318" s="87" t="s">
        <v>492</v>
      </c>
      <c r="D318" s="87" t="s">
        <v>494</v>
      </c>
      <c r="E318" s="87" t="s">
        <v>88</v>
      </c>
      <c r="F318" s="88" t="s">
        <v>525</v>
      </c>
      <c r="G318" s="88" t="s">
        <v>587</v>
      </c>
      <c r="H318" s="88" t="s">
        <v>560</v>
      </c>
      <c r="I318" s="89" t="s">
        <v>18</v>
      </c>
      <c r="J318" s="93" t="s">
        <v>583</v>
      </c>
      <c r="K318" s="31" cm="1">
        <f t="array" ref="K318">VLOOKUP(A318&amp;J318,CHOOSE({1,2},CCPA_DataFile_23!$A:$A&amp;CCPA_DataFile_23!$I:$I,CCPA_DataFile_23!$F:$F),2,0)</f>
        <v>7553890.8709677402</v>
      </c>
      <c r="L318" s="34">
        <f>VLOOKUP($B318,QualitativeNotes!B:C,2,FALSE)</f>
        <v>0</v>
      </c>
    </row>
    <row r="319" spans="1:12" ht="45" customHeight="1" x14ac:dyDescent="0.25">
      <c r="A319" s="85">
        <v>45291</v>
      </c>
      <c r="B319" s="86" t="s">
        <v>493</v>
      </c>
      <c r="C319" s="87" t="s">
        <v>492</v>
      </c>
      <c r="D319" s="87" t="s">
        <v>494</v>
      </c>
      <c r="E319" s="87" t="s">
        <v>88</v>
      </c>
      <c r="F319" s="88" t="s">
        <v>525</v>
      </c>
      <c r="G319" s="88" t="s">
        <v>587</v>
      </c>
      <c r="H319" s="88" t="s">
        <v>560</v>
      </c>
      <c r="I319" s="89" t="s">
        <v>18</v>
      </c>
      <c r="J319" s="93" t="s">
        <v>584</v>
      </c>
      <c r="K319" s="31" cm="1">
        <f t="array" ref="K319">VLOOKUP(A319&amp;J319,CHOOSE({1,2},CCPA_DataFile_23!$A:$A&amp;CCPA_DataFile_23!$I:$I,CCPA_DataFile_23!$F:$F),2,0)</f>
        <v>66045.192307692298</v>
      </c>
      <c r="L319" s="34">
        <f>VLOOKUP($B319,QualitativeNotes!B:C,2,FALSE)</f>
        <v>0</v>
      </c>
    </row>
    <row r="320" spans="1:12" ht="45" customHeight="1" x14ac:dyDescent="0.25">
      <c r="A320" s="85">
        <v>45291</v>
      </c>
      <c r="B320" s="86" t="s">
        <v>493</v>
      </c>
      <c r="C320" s="87" t="s">
        <v>492</v>
      </c>
      <c r="D320" s="87" t="s">
        <v>494</v>
      </c>
      <c r="E320" s="87" t="s">
        <v>88</v>
      </c>
      <c r="F320" s="88" t="s">
        <v>525</v>
      </c>
      <c r="G320" s="88" t="s">
        <v>587</v>
      </c>
      <c r="H320" s="88" t="s">
        <v>560</v>
      </c>
      <c r="I320" s="89" t="s">
        <v>18</v>
      </c>
      <c r="J320" s="93" t="s">
        <v>597</v>
      </c>
      <c r="K320" s="31" cm="1">
        <f t="array" ref="K320">VLOOKUP(A320&amp;J320,CHOOSE({1,2},CCPA_DataFile_23!$A:$A&amp;CCPA_DataFile_23!$I:$I,CCPA_DataFile_23!$F:$F),2,0)</f>
        <v>601.57142857142901</v>
      </c>
      <c r="L320" s="34">
        <f>VLOOKUP($B320,QualitativeNotes!B:C,2,FALSE)</f>
        <v>0</v>
      </c>
    </row>
    <row r="321" spans="1:12" ht="45" customHeight="1" x14ac:dyDescent="0.25">
      <c r="A321" s="85">
        <v>45291</v>
      </c>
      <c r="B321" s="86" t="s">
        <v>493</v>
      </c>
      <c r="C321" s="87" t="s">
        <v>492</v>
      </c>
      <c r="D321" s="87" t="s">
        <v>494</v>
      </c>
      <c r="E321" s="87" t="s">
        <v>88</v>
      </c>
      <c r="F321" s="88" t="s">
        <v>525</v>
      </c>
      <c r="G321" s="88" t="s">
        <v>587</v>
      </c>
      <c r="H321" s="88" t="s">
        <v>560</v>
      </c>
      <c r="I321" s="89" t="s">
        <v>18</v>
      </c>
      <c r="J321" s="93" t="s">
        <v>598</v>
      </c>
      <c r="K321" s="31" cm="1">
        <f t="array" ref="K321">VLOOKUP(A321&amp;J321,CHOOSE({1,2},CCPA_DataFile_23!$A:$A&amp;CCPA_DataFile_23!$I:$I,CCPA_DataFile_23!$F:$F),2,0)</f>
        <v>56998</v>
      </c>
      <c r="L321" s="34">
        <f>VLOOKUP($B321,QualitativeNotes!B:C,2,FALSE)</f>
        <v>0</v>
      </c>
    </row>
    <row r="322" spans="1:12" ht="45" customHeight="1" x14ac:dyDescent="0.25">
      <c r="A322" s="85">
        <v>45291</v>
      </c>
      <c r="B322" s="86" t="s">
        <v>497</v>
      </c>
      <c r="C322" s="87" t="s">
        <v>492</v>
      </c>
      <c r="D322" s="87" t="s">
        <v>498</v>
      </c>
      <c r="E322" s="87" t="s">
        <v>19</v>
      </c>
      <c r="F322" s="88" t="s">
        <v>525</v>
      </c>
      <c r="G322" s="88" t="s">
        <v>587</v>
      </c>
      <c r="H322" s="88" t="s">
        <v>560</v>
      </c>
      <c r="I322" s="89" t="s">
        <v>18</v>
      </c>
      <c r="J322" s="93" t="s">
        <v>595</v>
      </c>
      <c r="K322" s="30" cm="1">
        <f t="array" ref="K322">VLOOKUP(A322&amp;J322,CHOOSE({1,2},CCPA_DataFile_23!$A:$A&amp;CCPA_DataFile_23!$I:$I,CCPA_DataFile_23!$G:$G),2,0)</f>
        <v>2317521.4406451602</v>
      </c>
      <c r="L322" s="34">
        <f>VLOOKUP($B322,QualitativeNotes!B:C,2,FALSE)</f>
        <v>0</v>
      </c>
    </row>
    <row r="323" spans="1:12" ht="45" customHeight="1" x14ac:dyDescent="0.25">
      <c r="A323" s="85">
        <v>45291</v>
      </c>
      <c r="B323" s="86" t="s">
        <v>497</v>
      </c>
      <c r="C323" s="87" t="s">
        <v>492</v>
      </c>
      <c r="D323" s="87" t="s">
        <v>498</v>
      </c>
      <c r="E323" s="87" t="s">
        <v>19</v>
      </c>
      <c r="F323" s="88" t="s">
        <v>525</v>
      </c>
      <c r="G323" s="88" t="s">
        <v>587</v>
      </c>
      <c r="H323" s="88" t="s">
        <v>560</v>
      </c>
      <c r="I323" s="89" t="s">
        <v>18</v>
      </c>
      <c r="J323" s="93" t="s">
        <v>596</v>
      </c>
      <c r="K323" s="30" cm="1">
        <f t="array" ref="K323">VLOOKUP(A323&amp;J323,CHOOSE({1,2},CCPA_DataFile_23!$A:$A&amp;CCPA_DataFile_23!$I:$I,CCPA_DataFile_23!$G:$G),2,0)</f>
        <v>2247837.86903226</v>
      </c>
      <c r="L323" s="34">
        <f>VLOOKUP($B323,QualitativeNotes!B:C,2,FALSE)</f>
        <v>0</v>
      </c>
    </row>
    <row r="324" spans="1:12" ht="45" customHeight="1" x14ac:dyDescent="0.25">
      <c r="A324" s="85">
        <v>45291</v>
      </c>
      <c r="B324" s="86" t="s">
        <v>497</v>
      </c>
      <c r="C324" s="87" t="s">
        <v>492</v>
      </c>
      <c r="D324" s="87" t="s">
        <v>498</v>
      </c>
      <c r="E324" s="87" t="s">
        <v>19</v>
      </c>
      <c r="F324" s="88" t="s">
        <v>525</v>
      </c>
      <c r="G324" s="88" t="s">
        <v>587</v>
      </c>
      <c r="H324" s="88" t="s">
        <v>560</v>
      </c>
      <c r="I324" s="89" t="s">
        <v>18</v>
      </c>
      <c r="J324" s="93" t="s">
        <v>583</v>
      </c>
      <c r="K324" s="30" cm="1">
        <f t="array" ref="K324">VLOOKUP(A324&amp;J324,CHOOSE({1,2},CCPA_DataFile_23!$A:$A&amp;CCPA_DataFile_23!$I:$I,CCPA_DataFile_23!$G:$G),2,0)</f>
        <v>216395727.99871001</v>
      </c>
      <c r="L324" s="34">
        <f>VLOOKUP($B324,QualitativeNotes!B:C,2,FALSE)</f>
        <v>0</v>
      </c>
    </row>
    <row r="325" spans="1:12" ht="45" customHeight="1" x14ac:dyDescent="0.25">
      <c r="A325" s="85">
        <v>45291</v>
      </c>
      <c r="B325" s="86" t="s">
        <v>497</v>
      </c>
      <c r="C325" s="87" t="s">
        <v>492</v>
      </c>
      <c r="D325" s="87" t="s">
        <v>498</v>
      </c>
      <c r="E325" s="87" t="s">
        <v>19</v>
      </c>
      <c r="F325" s="88" t="s">
        <v>525</v>
      </c>
      <c r="G325" s="88" t="s">
        <v>587</v>
      </c>
      <c r="H325" s="88" t="s">
        <v>560</v>
      </c>
      <c r="I325" s="89" t="s">
        <v>18</v>
      </c>
      <c r="J325" s="93" t="s">
        <v>584</v>
      </c>
      <c r="K325" s="30" cm="1">
        <f t="array" ref="K325">VLOOKUP(A325&amp;J325,CHOOSE({1,2},CCPA_DataFile_23!$A:$A&amp;CCPA_DataFile_23!$I:$I,CCPA_DataFile_23!$G:$G),2,0)</f>
        <v>14726.2092307692</v>
      </c>
      <c r="L325" s="34">
        <f>VLOOKUP($B325,QualitativeNotes!B:C,2,FALSE)</f>
        <v>0</v>
      </c>
    </row>
    <row r="326" spans="1:12" ht="45" customHeight="1" x14ac:dyDescent="0.25">
      <c r="A326" s="85">
        <v>45291</v>
      </c>
      <c r="B326" s="86" t="s">
        <v>497</v>
      </c>
      <c r="C326" s="87" t="s">
        <v>492</v>
      </c>
      <c r="D326" s="87" t="s">
        <v>498</v>
      </c>
      <c r="E326" s="87" t="s">
        <v>19</v>
      </c>
      <c r="F326" s="88" t="s">
        <v>525</v>
      </c>
      <c r="G326" s="88" t="s">
        <v>587</v>
      </c>
      <c r="H326" s="88" t="s">
        <v>560</v>
      </c>
      <c r="I326" s="89" t="s">
        <v>18</v>
      </c>
      <c r="J326" s="93" t="s">
        <v>597</v>
      </c>
      <c r="K326" s="30" cm="1">
        <f t="array" ref="K326">VLOOKUP(A326&amp;J326,CHOOSE({1,2},CCPA_DataFile_23!$A:$A&amp;CCPA_DataFile_23!$I:$I,CCPA_DataFile_23!$G:$G),2,0)</f>
        <v>9063.6928571428598</v>
      </c>
      <c r="L326" s="34">
        <f>VLOOKUP($B326,QualitativeNotes!B:C,2,FALSE)</f>
        <v>0</v>
      </c>
    </row>
    <row r="327" spans="1:12" ht="45" customHeight="1" x14ac:dyDescent="0.25">
      <c r="A327" s="85">
        <v>45291</v>
      </c>
      <c r="B327" s="86" t="s">
        <v>497</v>
      </c>
      <c r="C327" s="87" t="s">
        <v>492</v>
      </c>
      <c r="D327" s="87" t="s">
        <v>498</v>
      </c>
      <c r="E327" s="87" t="s">
        <v>19</v>
      </c>
      <c r="F327" s="88" t="s">
        <v>525</v>
      </c>
      <c r="G327" s="88" t="s">
        <v>587</v>
      </c>
      <c r="H327" s="88" t="s">
        <v>560</v>
      </c>
      <c r="I327" s="89" t="s">
        <v>18</v>
      </c>
      <c r="J327" s="93" t="s">
        <v>598</v>
      </c>
      <c r="K327" s="30" cm="1">
        <f t="array" ref="K327">VLOOKUP(A327&amp;J327,CHOOSE({1,2},CCPA_DataFile_23!$A:$A&amp;CCPA_DataFile_23!$I:$I,CCPA_DataFile_23!$G:$G),2,0)</f>
        <v>701504.82612903195</v>
      </c>
      <c r="L327" s="34">
        <f>VLOOKUP($B327,QualitativeNotes!B:C,2,FALSE)</f>
        <v>0</v>
      </c>
    </row>
    <row r="328" spans="1:12" ht="60" x14ac:dyDescent="0.25">
      <c r="A328" s="85">
        <v>45291</v>
      </c>
      <c r="B328" s="86" t="s">
        <v>501</v>
      </c>
      <c r="C328" s="87" t="s">
        <v>500</v>
      </c>
      <c r="D328" s="87" t="s">
        <v>502</v>
      </c>
      <c r="E328" s="87" t="s">
        <v>19</v>
      </c>
      <c r="F328" s="88" t="s">
        <v>525</v>
      </c>
      <c r="G328" s="88" t="s">
        <v>587</v>
      </c>
      <c r="H328" s="88" t="s">
        <v>560</v>
      </c>
      <c r="I328" s="89" t="s">
        <v>18</v>
      </c>
      <c r="J328" s="93" t="s">
        <v>595</v>
      </c>
      <c r="K328" s="30" cm="1">
        <f t="array" ref="K328">VLOOKUP(A328&amp;J328,CHOOSE({1,2},CCPA_DataFile_23!$A:$A&amp;CCPA_DataFile_23!$I:$I,CCPA_DataFile_23!$H:$H),2,0)</f>
        <v>2393636.5203225799</v>
      </c>
      <c r="L328" s="34">
        <f>VLOOKUP($B328,QualitativeNotes!B:C,2,FALSE)</f>
        <v>0</v>
      </c>
    </row>
    <row r="329" spans="1:12" ht="60" x14ac:dyDescent="0.25">
      <c r="A329" s="85">
        <v>45291</v>
      </c>
      <c r="B329" s="86" t="s">
        <v>501</v>
      </c>
      <c r="C329" s="87" t="s">
        <v>500</v>
      </c>
      <c r="D329" s="87" t="s">
        <v>502</v>
      </c>
      <c r="E329" s="87" t="s">
        <v>19</v>
      </c>
      <c r="F329" s="88" t="s">
        <v>525</v>
      </c>
      <c r="G329" s="88" t="s">
        <v>587</v>
      </c>
      <c r="H329" s="88" t="s">
        <v>560</v>
      </c>
      <c r="I329" s="89" t="s">
        <v>18</v>
      </c>
      <c r="J329" s="93" t="s">
        <v>596</v>
      </c>
      <c r="K329" s="30" cm="1">
        <f t="array" ref="K329">VLOOKUP(A329&amp;J329,CHOOSE({1,2},CCPA_DataFile_23!$A:$A&amp;CCPA_DataFile_23!$I:$I,CCPA_DataFile_23!$H:$H),2,0)</f>
        <v>4326916.8587096799</v>
      </c>
      <c r="L329" s="34">
        <f>VLOOKUP($B329,QualitativeNotes!B:C,2,FALSE)</f>
        <v>0</v>
      </c>
    </row>
    <row r="330" spans="1:12" ht="60" x14ac:dyDescent="0.25">
      <c r="A330" s="85">
        <v>45291</v>
      </c>
      <c r="B330" s="86" t="s">
        <v>501</v>
      </c>
      <c r="C330" s="87" t="s">
        <v>500</v>
      </c>
      <c r="D330" s="87" t="s">
        <v>502</v>
      </c>
      <c r="E330" s="87" t="s">
        <v>19</v>
      </c>
      <c r="F330" s="88" t="s">
        <v>525</v>
      </c>
      <c r="G330" s="88" t="s">
        <v>587</v>
      </c>
      <c r="H330" s="88" t="s">
        <v>560</v>
      </c>
      <c r="I330" s="89" t="s">
        <v>18</v>
      </c>
      <c r="J330" s="93" t="s">
        <v>583</v>
      </c>
      <c r="K330" s="30" cm="1">
        <f t="array" ref="K330">VLOOKUP(A330&amp;J330,CHOOSE({1,2},CCPA_DataFile_23!$A:$A&amp;CCPA_DataFile_23!$I:$I,CCPA_DataFile_23!$H:$H),2,0)</f>
        <v>206084463.39467701</v>
      </c>
      <c r="L330" s="34">
        <f>VLOOKUP($B330,QualitativeNotes!B:C,2,FALSE)</f>
        <v>0</v>
      </c>
    </row>
    <row r="331" spans="1:12" ht="60" x14ac:dyDescent="0.25">
      <c r="A331" s="85">
        <v>45291</v>
      </c>
      <c r="B331" s="86" t="s">
        <v>501</v>
      </c>
      <c r="C331" s="87" t="s">
        <v>500</v>
      </c>
      <c r="D331" s="87" t="s">
        <v>502</v>
      </c>
      <c r="E331" s="87" t="s">
        <v>19</v>
      </c>
      <c r="F331" s="88" t="s">
        <v>525</v>
      </c>
      <c r="G331" s="88" t="s">
        <v>587</v>
      </c>
      <c r="H331" s="88" t="s">
        <v>560</v>
      </c>
      <c r="I331" s="89" t="s">
        <v>18</v>
      </c>
      <c r="J331" s="93" t="s">
        <v>584</v>
      </c>
      <c r="K331" s="30" cm="1">
        <f t="array" ref="K331">VLOOKUP(A331&amp;J331,CHOOSE({1,2},CCPA_DataFile_23!$A:$A&amp;CCPA_DataFile_23!$I:$I,CCPA_DataFile_23!$H:$H),2,0)</f>
        <v>25354.446</v>
      </c>
      <c r="L331" s="34">
        <f>VLOOKUP($B331,QualitativeNotes!B:C,2,FALSE)</f>
        <v>0</v>
      </c>
    </row>
    <row r="332" spans="1:12" ht="60" x14ac:dyDescent="0.25">
      <c r="A332" s="85">
        <v>45291</v>
      </c>
      <c r="B332" s="86" t="s">
        <v>501</v>
      </c>
      <c r="C332" s="87" t="s">
        <v>500</v>
      </c>
      <c r="D332" s="87" t="s">
        <v>502</v>
      </c>
      <c r="E332" s="87" t="s">
        <v>19</v>
      </c>
      <c r="F332" s="88" t="s">
        <v>525</v>
      </c>
      <c r="G332" s="88" t="s">
        <v>587</v>
      </c>
      <c r="H332" s="88" t="s">
        <v>560</v>
      </c>
      <c r="I332" s="89" t="s">
        <v>18</v>
      </c>
      <c r="J332" s="93" t="s">
        <v>597</v>
      </c>
      <c r="K332" s="30" cm="1">
        <f t="array" ref="K332">VLOOKUP(A332&amp;J332,CHOOSE({1,2},CCPA_DataFile_23!$A:$A&amp;CCPA_DataFile_23!$I:$I,CCPA_DataFile_23!$H:$H),2,0)</f>
        <v>9724.4846153846102</v>
      </c>
      <c r="L332" s="34">
        <f>VLOOKUP($B332,QualitativeNotes!B:C,2,FALSE)</f>
        <v>0</v>
      </c>
    </row>
    <row r="333" spans="1:12" ht="60" x14ac:dyDescent="0.25">
      <c r="A333" s="85">
        <v>45291</v>
      </c>
      <c r="B333" s="86" t="s">
        <v>501</v>
      </c>
      <c r="C333" s="87" t="s">
        <v>500</v>
      </c>
      <c r="D333" s="87" t="s">
        <v>502</v>
      </c>
      <c r="E333" s="87" t="s">
        <v>19</v>
      </c>
      <c r="F333" s="88" t="s">
        <v>525</v>
      </c>
      <c r="G333" s="88" t="s">
        <v>587</v>
      </c>
      <c r="H333" s="88" t="s">
        <v>560</v>
      </c>
      <c r="I333" s="89" t="s">
        <v>18</v>
      </c>
      <c r="J333" s="93" t="s">
        <v>598</v>
      </c>
      <c r="K333" s="30" cm="1">
        <f t="array" ref="K333">VLOOKUP(A333&amp;J333,CHOOSE({1,2},CCPA_DataFile_23!$A:$A&amp;CCPA_DataFile_23!$I:$I,CCPA_DataFile_23!$H:$H),2,0)</f>
        <v>1357475.2683871</v>
      </c>
      <c r="L333" s="34">
        <f>VLOOKUP($B333,QualitativeNotes!B:C,2,FALSE)</f>
        <v>0</v>
      </c>
    </row>
    <row r="334" spans="1:12" ht="45.75" customHeight="1" x14ac:dyDescent="0.25">
      <c r="A334" s="85">
        <v>45291</v>
      </c>
      <c r="B334" s="86" t="s">
        <v>503</v>
      </c>
      <c r="C334" s="87" t="s">
        <v>492</v>
      </c>
      <c r="D334" s="87" t="s">
        <v>504</v>
      </c>
      <c r="E334" s="87" t="s">
        <v>4</v>
      </c>
      <c r="F334" s="88" t="s">
        <v>525</v>
      </c>
      <c r="G334" s="88" t="s">
        <v>587</v>
      </c>
      <c r="H334" s="88" t="s">
        <v>560</v>
      </c>
      <c r="I334" s="89" t="s">
        <v>18</v>
      </c>
      <c r="J334" s="93" t="s">
        <v>595</v>
      </c>
      <c r="K334" s="17" t="str" cm="1">
        <f t="array" ref="K334">VLOOKUP(A334&amp;J334,CHOOSE({1,2},CCPA_DataFile_23!$A:$A&amp;CCPA_DataFile_23!$I:$I,CCPA_DataFile_23!$I:$I),2,0)</f>
        <v>Bonds 1</v>
      </c>
      <c r="L334" s="34">
        <f>VLOOKUP($B334,QualitativeNotes!B:C,2,FALSE)</f>
        <v>0</v>
      </c>
    </row>
    <row r="335" spans="1:12" ht="45.75" customHeight="1" x14ac:dyDescent="0.25">
      <c r="A335" s="85">
        <v>45291</v>
      </c>
      <c r="B335" s="86" t="s">
        <v>503</v>
      </c>
      <c r="C335" s="87" t="s">
        <v>492</v>
      </c>
      <c r="D335" s="87" t="s">
        <v>504</v>
      </c>
      <c r="E335" s="87" t="s">
        <v>4</v>
      </c>
      <c r="F335" s="88" t="s">
        <v>525</v>
      </c>
      <c r="G335" s="88" t="s">
        <v>587</v>
      </c>
      <c r="H335" s="88" t="s">
        <v>560</v>
      </c>
      <c r="I335" s="89" t="s">
        <v>18</v>
      </c>
      <c r="J335" s="93" t="s">
        <v>596</v>
      </c>
      <c r="K335" s="17" t="str" cm="1">
        <f t="array" ref="K335">VLOOKUP(A335&amp;J335,CHOOSE({1,2},CCPA_DataFile_23!$A:$A&amp;CCPA_DataFile_23!$I:$I,CCPA_DataFile_23!$I:$I),2,0)</f>
        <v>Certificates 1</v>
      </c>
      <c r="L335" s="34">
        <f>VLOOKUP($B335,QualitativeNotes!B:C,2,FALSE)</f>
        <v>0</v>
      </c>
    </row>
    <row r="336" spans="1:12" ht="45.75" customHeight="1" x14ac:dyDescent="0.25">
      <c r="A336" s="85">
        <v>45291</v>
      </c>
      <c r="B336" s="86" t="s">
        <v>503</v>
      </c>
      <c r="C336" s="87" t="s">
        <v>492</v>
      </c>
      <c r="D336" s="87" t="s">
        <v>504</v>
      </c>
      <c r="E336" s="87" t="s">
        <v>4</v>
      </c>
      <c r="F336" s="88" t="s">
        <v>525</v>
      </c>
      <c r="G336" s="88" t="s">
        <v>587</v>
      </c>
      <c r="H336" s="88" t="s">
        <v>560</v>
      </c>
      <c r="I336" s="89" t="s">
        <v>18</v>
      </c>
      <c r="J336" s="93" t="s">
        <v>583</v>
      </c>
      <c r="K336" s="17" t="str" cm="1">
        <f t="array" ref="K336">VLOOKUP(A336&amp;J336,CHOOSE({1,2},CCPA_DataFile_23!$A:$A&amp;CCPA_DataFile_23!$I:$I,CCPA_DataFile_23!$I:$I),2,0)</f>
        <v xml:space="preserve">Equitiy </v>
      </c>
      <c r="L336" s="34">
        <f>VLOOKUP($B336,QualitativeNotes!B:C,2,FALSE)</f>
        <v>0</v>
      </c>
    </row>
    <row r="337" spans="1:12" ht="45.75" customHeight="1" x14ac:dyDescent="0.25">
      <c r="A337" s="85">
        <v>45291</v>
      </c>
      <c r="B337" s="86" t="s">
        <v>503</v>
      </c>
      <c r="C337" s="87" t="s">
        <v>492</v>
      </c>
      <c r="D337" s="87" t="s">
        <v>504</v>
      </c>
      <c r="E337" s="87" t="s">
        <v>4</v>
      </c>
      <c r="F337" s="88" t="s">
        <v>525</v>
      </c>
      <c r="G337" s="88" t="s">
        <v>587</v>
      </c>
      <c r="H337" s="88" t="s">
        <v>560</v>
      </c>
      <c r="I337" s="89" t="s">
        <v>18</v>
      </c>
      <c r="J337" s="93" t="s">
        <v>584</v>
      </c>
      <c r="K337" s="17" t="str" cm="1">
        <f t="array" ref="K337">VLOOKUP(A337&amp;J337,CHOOSE({1,2},CCPA_DataFile_23!$A:$A&amp;CCPA_DataFile_23!$I:$I,CCPA_DataFile_23!$I:$I),2,0)</f>
        <v>Warrants</v>
      </c>
      <c r="L337" s="34">
        <f>VLOOKUP($B337,QualitativeNotes!B:C,2,FALSE)</f>
        <v>0</v>
      </c>
    </row>
    <row r="338" spans="1:12" ht="45.75" customHeight="1" x14ac:dyDescent="0.25">
      <c r="A338" s="85">
        <v>45291</v>
      </c>
      <c r="B338" s="86" t="s">
        <v>503</v>
      </c>
      <c r="C338" s="87" t="s">
        <v>492</v>
      </c>
      <c r="D338" s="87" t="s">
        <v>504</v>
      </c>
      <c r="E338" s="87" t="s">
        <v>4</v>
      </c>
      <c r="F338" s="88" t="s">
        <v>525</v>
      </c>
      <c r="G338" s="88" t="s">
        <v>587</v>
      </c>
      <c r="H338" s="88" t="s">
        <v>560</v>
      </c>
      <c r="I338" s="89" t="s">
        <v>18</v>
      </c>
      <c r="J338" s="93" t="s">
        <v>597</v>
      </c>
      <c r="K338" s="17" t="str" cm="1">
        <f t="array" ref="K338">VLOOKUP(A338&amp;J338,CHOOSE({1,2},CCPA_DataFile_23!$A:$A&amp;CCPA_DataFile_23!$I:$I,CCPA_DataFile_23!$I:$I),2,0)</f>
        <v>Bonds 2</v>
      </c>
      <c r="L338" s="34">
        <f>VLOOKUP($B338,QualitativeNotes!B:C,2,FALSE)</f>
        <v>0</v>
      </c>
    </row>
    <row r="339" spans="1:12" ht="45.75" customHeight="1" x14ac:dyDescent="0.25">
      <c r="A339" s="85">
        <v>45291</v>
      </c>
      <c r="B339" s="86" t="s">
        <v>503</v>
      </c>
      <c r="C339" s="87" t="s">
        <v>492</v>
      </c>
      <c r="D339" s="87" t="s">
        <v>504</v>
      </c>
      <c r="E339" s="87" t="s">
        <v>4</v>
      </c>
      <c r="F339" s="88" t="s">
        <v>525</v>
      </c>
      <c r="G339" s="88" t="s">
        <v>587</v>
      </c>
      <c r="H339" s="88" t="s">
        <v>560</v>
      </c>
      <c r="I339" s="89" t="s">
        <v>18</v>
      </c>
      <c r="J339" s="93" t="s">
        <v>598</v>
      </c>
      <c r="K339" s="17" t="str" cm="1">
        <f t="array" ref="K339">VLOOKUP(A339&amp;J339,CHOOSE({1,2},CCPA_DataFile_23!$A:$A&amp;CCPA_DataFile_23!$I:$I,CCPA_DataFile_23!$I:$I),2,0)</f>
        <v>Certificates 2</v>
      </c>
      <c r="L339" s="34">
        <f>VLOOKUP($B339,QualitativeNotes!B:C,2,FALSE)</f>
        <v>0</v>
      </c>
    </row>
    <row r="340" spans="1:12" ht="45.75" customHeight="1" x14ac:dyDescent="0.25">
      <c r="A340" s="85">
        <v>45291</v>
      </c>
      <c r="B340" s="86" t="s">
        <v>506</v>
      </c>
      <c r="C340" s="87" t="s">
        <v>492</v>
      </c>
      <c r="D340" s="87" t="s">
        <v>507</v>
      </c>
      <c r="E340" s="87" t="s">
        <v>4</v>
      </c>
      <c r="F340" s="88" t="s">
        <v>525</v>
      </c>
      <c r="G340" s="88" t="s">
        <v>587</v>
      </c>
      <c r="H340" s="88" t="s">
        <v>560</v>
      </c>
      <c r="I340" s="89" t="s">
        <v>18</v>
      </c>
      <c r="J340" s="93" t="s">
        <v>595</v>
      </c>
      <c r="K340" s="17" t="str" cm="1">
        <f t="array" ref="K340">VLOOKUP(A340&amp;J340,CHOOSE({1,2},CCPA_DataFile_23!$A:$A&amp;CCPA_DataFile_23!$I:$I,CCPA_DataFile_23!$J:$J),2,0)</f>
        <v>Face Value</v>
      </c>
      <c r="L340" s="34">
        <f>VLOOKUP($B340,QualitativeNotes!B:C,2,FALSE)</f>
        <v>0</v>
      </c>
    </row>
    <row r="341" spans="1:12" ht="45.75" customHeight="1" x14ac:dyDescent="0.25">
      <c r="A341" s="85">
        <v>45291</v>
      </c>
      <c r="B341" s="86" t="s">
        <v>506</v>
      </c>
      <c r="C341" s="87" t="s">
        <v>492</v>
      </c>
      <c r="D341" s="87" t="s">
        <v>507</v>
      </c>
      <c r="E341" s="87" t="s">
        <v>4</v>
      </c>
      <c r="F341" s="88" t="s">
        <v>525</v>
      </c>
      <c r="G341" s="88" t="s">
        <v>587</v>
      </c>
      <c r="H341" s="88" t="s">
        <v>560</v>
      </c>
      <c r="I341" s="89" t="s">
        <v>18</v>
      </c>
      <c r="J341" s="93" t="s">
        <v>596</v>
      </c>
      <c r="K341" s="17" t="str" cm="1">
        <f t="array" ref="K341">VLOOKUP(A341&amp;J341,CHOOSE({1,2},CCPA_DataFile_23!$A:$A&amp;CCPA_DataFile_23!$I:$I,CCPA_DataFile_23!$J:$J),2,0)</f>
        <v>Face Value</v>
      </c>
      <c r="L341" s="34">
        <f>VLOOKUP($B341,QualitativeNotes!B:C,2,FALSE)</f>
        <v>0</v>
      </c>
    </row>
    <row r="342" spans="1:12" ht="45.75" customHeight="1" x14ac:dyDescent="0.25">
      <c r="A342" s="85">
        <v>45291</v>
      </c>
      <c r="B342" s="86" t="s">
        <v>506</v>
      </c>
      <c r="C342" s="87" t="s">
        <v>492</v>
      </c>
      <c r="D342" s="87" t="s">
        <v>507</v>
      </c>
      <c r="E342" s="87" t="s">
        <v>4</v>
      </c>
      <c r="F342" s="88" t="s">
        <v>525</v>
      </c>
      <c r="G342" s="88" t="s">
        <v>587</v>
      </c>
      <c r="H342" s="88" t="s">
        <v>560</v>
      </c>
      <c r="I342" s="89" t="s">
        <v>18</v>
      </c>
      <c r="J342" s="93" t="s">
        <v>583</v>
      </c>
      <c r="K342" s="17" t="str" cm="1">
        <f t="array" ref="K342">VLOOKUP(A342&amp;J342,CHOOSE({1,2},CCPA_DataFile_23!$A:$A&amp;CCPA_DataFile_23!$I:$I,CCPA_DataFile_23!$J:$J),2,0)</f>
        <v>Unit</v>
      </c>
      <c r="L342" s="34">
        <f>VLOOKUP($B342,QualitativeNotes!B:C,2,FALSE)</f>
        <v>0</v>
      </c>
    </row>
    <row r="343" spans="1:12" ht="45.75" customHeight="1" x14ac:dyDescent="0.25">
      <c r="A343" s="85">
        <v>45291</v>
      </c>
      <c r="B343" s="86" t="s">
        <v>506</v>
      </c>
      <c r="C343" s="87" t="s">
        <v>492</v>
      </c>
      <c r="D343" s="87" t="s">
        <v>507</v>
      </c>
      <c r="E343" s="87" t="s">
        <v>4</v>
      </c>
      <c r="F343" s="88" t="s">
        <v>525</v>
      </c>
      <c r="G343" s="88" t="s">
        <v>587</v>
      </c>
      <c r="H343" s="88" t="s">
        <v>560</v>
      </c>
      <c r="I343" s="89" t="s">
        <v>18</v>
      </c>
      <c r="J343" s="93" t="s">
        <v>584</v>
      </c>
      <c r="K343" s="17" t="str" cm="1">
        <f t="array" ref="K343">VLOOKUP(A343&amp;J343,CHOOSE({1,2},CCPA_DataFile_23!$A:$A&amp;CCPA_DataFile_23!$I:$I,CCPA_DataFile_23!$J:$J),2,0)</f>
        <v>Unit</v>
      </c>
      <c r="L343" s="34">
        <f>VLOOKUP($B343,QualitativeNotes!B:C,2,FALSE)</f>
        <v>0</v>
      </c>
    </row>
    <row r="344" spans="1:12" ht="45.75" customHeight="1" x14ac:dyDescent="0.25">
      <c r="A344" s="85">
        <v>45291</v>
      </c>
      <c r="B344" s="86" t="s">
        <v>506</v>
      </c>
      <c r="C344" s="87" t="s">
        <v>492</v>
      </c>
      <c r="D344" s="87" t="s">
        <v>507</v>
      </c>
      <c r="E344" s="87" t="s">
        <v>4</v>
      </c>
      <c r="F344" s="88" t="s">
        <v>525</v>
      </c>
      <c r="G344" s="88" t="s">
        <v>587</v>
      </c>
      <c r="H344" s="88" t="s">
        <v>560</v>
      </c>
      <c r="I344" s="89" t="s">
        <v>18</v>
      </c>
      <c r="J344" s="93" t="s">
        <v>597</v>
      </c>
      <c r="K344" s="17" t="str" cm="1">
        <f t="array" ref="K344">VLOOKUP(A344&amp;J344,CHOOSE({1,2},CCPA_DataFile_23!$A:$A&amp;CCPA_DataFile_23!$I:$I,CCPA_DataFile_23!$J:$J),2,0)</f>
        <v>Unit</v>
      </c>
      <c r="L344" s="34">
        <f>VLOOKUP($B344,QualitativeNotes!B:C,2,FALSE)</f>
        <v>0</v>
      </c>
    </row>
    <row r="345" spans="1:12" ht="45.75" customHeight="1" x14ac:dyDescent="0.25">
      <c r="A345" s="85">
        <v>45291</v>
      </c>
      <c r="B345" s="86" t="s">
        <v>506</v>
      </c>
      <c r="C345" s="87" t="s">
        <v>492</v>
      </c>
      <c r="D345" s="87" t="s">
        <v>507</v>
      </c>
      <c r="E345" s="87" t="s">
        <v>4</v>
      </c>
      <c r="F345" s="88" t="s">
        <v>525</v>
      </c>
      <c r="G345" s="88" t="s">
        <v>587</v>
      </c>
      <c r="H345" s="88" t="s">
        <v>560</v>
      </c>
      <c r="I345" s="89" t="s">
        <v>18</v>
      </c>
      <c r="J345" s="93" t="s">
        <v>598</v>
      </c>
      <c r="K345" s="17" t="str" cm="1">
        <f t="array" ref="K345">VLOOKUP(A345&amp;J345,CHOOSE({1,2},CCPA_DataFile_23!$A:$A&amp;CCPA_DataFile_23!$I:$I,CCPA_DataFile_23!$J:$J),2,0)</f>
        <v>Unit</v>
      </c>
      <c r="L345" s="34">
        <f>VLOOKUP($B345,QualitativeNotes!B:C,2,FALSE)</f>
        <v>0</v>
      </c>
    </row>
    <row r="346" spans="1:12" ht="45.75" customHeight="1" x14ac:dyDescent="0.25">
      <c r="A346" s="85">
        <v>45291</v>
      </c>
      <c r="B346" s="86" t="s">
        <v>509</v>
      </c>
      <c r="C346" s="87" t="s">
        <v>492</v>
      </c>
      <c r="D346" s="87" t="s">
        <v>510</v>
      </c>
      <c r="E346" s="87" t="s">
        <v>4</v>
      </c>
      <c r="F346" s="88" t="s">
        <v>525</v>
      </c>
      <c r="G346" s="88" t="s">
        <v>587</v>
      </c>
      <c r="H346" s="88" t="s">
        <v>560</v>
      </c>
      <c r="I346" s="89" t="s">
        <v>18</v>
      </c>
      <c r="J346" s="93" t="s">
        <v>595</v>
      </c>
      <c r="K346" s="17" t="str" cm="1">
        <f t="array" ref="K346">VLOOKUP(A346&amp;J346,CHOOSE({1,2},CCPA_DataFile_23!$A:$A&amp;CCPA_DataFile_23!$I:$I,CCPA_DataFile_23!$K:$K),2,0)</f>
        <v>n/a</v>
      </c>
      <c r="L346" s="34">
        <f>VLOOKUP($B346,QualitativeNotes!B:C,2,FALSE)</f>
        <v>0</v>
      </c>
    </row>
    <row r="347" spans="1:12" ht="45.75" customHeight="1" x14ac:dyDescent="0.25">
      <c r="A347" s="85">
        <v>45291</v>
      </c>
      <c r="B347" s="86" t="s">
        <v>509</v>
      </c>
      <c r="C347" s="87" t="s">
        <v>492</v>
      </c>
      <c r="D347" s="87" t="s">
        <v>510</v>
      </c>
      <c r="E347" s="87" t="s">
        <v>4</v>
      </c>
      <c r="F347" s="88" t="s">
        <v>525</v>
      </c>
      <c r="G347" s="88" t="s">
        <v>587</v>
      </c>
      <c r="H347" s="88" t="s">
        <v>560</v>
      </c>
      <c r="I347" s="89" t="s">
        <v>18</v>
      </c>
      <c r="J347" s="93" t="s">
        <v>596</v>
      </c>
      <c r="K347" s="17" t="str" cm="1">
        <f t="array" ref="K347">VLOOKUP(A347&amp;J347,CHOOSE({1,2},CCPA_DataFile_23!$A:$A&amp;CCPA_DataFile_23!$I:$I,CCPA_DataFile_23!$K:$K),2,0)</f>
        <v>n/a</v>
      </c>
      <c r="L347" s="34">
        <f>VLOOKUP($B347,QualitativeNotes!B:C,2,FALSE)</f>
        <v>0</v>
      </c>
    </row>
    <row r="348" spans="1:12" ht="45.75" customHeight="1" x14ac:dyDescent="0.25">
      <c r="A348" s="85">
        <v>45291</v>
      </c>
      <c r="B348" s="86" t="s">
        <v>509</v>
      </c>
      <c r="C348" s="87" t="s">
        <v>492</v>
      </c>
      <c r="D348" s="87" t="s">
        <v>510</v>
      </c>
      <c r="E348" s="87" t="s">
        <v>4</v>
      </c>
      <c r="F348" s="88" t="s">
        <v>525</v>
      </c>
      <c r="G348" s="88" t="s">
        <v>587</v>
      </c>
      <c r="H348" s="88" t="s">
        <v>560</v>
      </c>
      <c r="I348" s="89" t="s">
        <v>18</v>
      </c>
      <c r="J348" s="93" t="s">
        <v>583</v>
      </c>
      <c r="K348" s="17" t="str" cm="1">
        <f t="array" ref="K348">VLOOKUP(A348&amp;J348,CHOOSE({1,2},CCPA_DataFile_23!$A:$A&amp;CCPA_DataFile_23!$I:$I,CCPA_DataFile_23!$K:$K),2,0)</f>
        <v>n/a</v>
      </c>
      <c r="L348" s="34">
        <f>VLOOKUP($B348,QualitativeNotes!B:C,2,FALSE)</f>
        <v>0</v>
      </c>
    </row>
    <row r="349" spans="1:12" ht="45.75" customHeight="1" x14ac:dyDescent="0.25">
      <c r="A349" s="85">
        <v>45291</v>
      </c>
      <c r="B349" s="86" t="s">
        <v>509</v>
      </c>
      <c r="C349" s="87" t="s">
        <v>492</v>
      </c>
      <c r="D349" s="87" t="s">
        <v>510</v>
      </c>
      <c r="E349" s="87" t="s">
        <v>4</v>
      </c>
      <c r="F349" s="88" t="s">
        <v>525</v>
      </c>
      <c r="G349" s="88" t="s">
        <v>587</v>
      </c>
      <c r="H349" s="88" t="s">
        <v>560</v>
      </c>
      <c r="I349" s="89" t="s">
        <v>18</v>
      </c>
      <c r="J349" s="93" t="s">
        <v>584</v>
      </c>
      <c r="K349" s="17" t="str" cm="1">
        <f t="array" ref="K349">VLOOKUP(A349&amp;J349,CHOOSE({1,2},CCPA_DataFile_23!$A:$A&amp;CCPA_DataFile_23!$I:$I,CCPA_DataFile_23!$K:$K),2,0)</f>
        <v>n/a</v>
      </c>
      <c r="L349" s="34">
        <f>VLOOKUP($B349,QualitativeNotes!B:C,2,FALSE)</f>
        <v>0</v>
      </c>
    </row>
    <row r="350" spans="1:12" ht="45.75" customHeight="1" x14ac:dyDescent="0.25">
      <c r="A350" s="85">
        <v>45291</v>
      </c>
      <c r="B350" s="86" t="s">
        <v>509</v>
      </c>
      <c r="C350" s="87" t="s">
        <v>492</v>
      </c>
      <c r="D350" s="87" t="s">
        <v>510</v>
      </c>
      <c r="E350" s="87" t="s">
        <v>4</v>
      </c>
      <c r="F350" s="88" t="s">
        <v>525</v>
      </c>
      <c r="G350" s="88" t="s">
        <v>587</v>
      </c>
      <c r="H350" s="88" t="s">
        <v>560</v>
      </c>
      <c r="I350" s="89" t="s">
        <v>18</v>
      </c>
      <c r="J350" s="93" t="s">
        <v>597</v>
      </c>
      <c r="K350" s="17" t="str" cm="1">
        <f t="array" ref="K350">VLOOKUP(A350&amp;J350,CHOOSE({1,2},CCPA_DataFile_23!$A:$A&amp;CCPA_DataFile_23!$I:$I,CCPA_DataFile_23!$K:$K),2,0)</f>
        <v>n/a</v>
      </c>
      <c r="L350" s="34">
        <f>VLOOKUP($B350,QualitativeNotes!B:C,2,FALSE)</f>
        <v>0</v>
      </c>
    </row>
    <row r="351" spans="1:12" ht="45.75" customHeight="1" x14ac:dyDescent="0.25">
      <c r="A351" s="85">
        <v>45291</v>
      </c>
      <c r="B351" s="86" t="s">
        <v>509</v>
      </c>
      <c r="C351" s="87" t="s">
        <v>492</v>
      </c>
      <c r="D351" s="87" t="s">
        <v>510</v>
      </c>
      <c r="E351" s="87" t="s">
        <v>4</v>
      </c>
      <c r="F351" s="88" t="s">
        <v>525</v>
      </c>
      <c r="G351" s="88" t="s">
        <v>587</v>
      </c>
      <c r="H351" s="88" t="s">
        <v>560</v>
      </c>
      <c r="I351" s="89" t="s">
        <v>18</v>
      </c>
      <c r="J351" s="93" t="s">
        <v>598</v>
      </c>
      <c r="K351" s="17" t="str" cm="1">
        <f t="array" ref="K351">VLOOKUP(A351&amp;J351,CHOOSE({1,2},CCPA_DataFile_23!$A:$A&amp;CCPA_DataFile_23!$I:$I,CCPA_DataFile_23!$K:$K),2,0)</f>
        <v>n/a</v>
      </c>
      <c r="L351" s="34">
        <f>VLOOKUP($B351,QualitativeNotes!B:C,2,FALSE)</f>
        <v>0</v>
      </c>
    </row>
    <row r="352" spans="1:12" ht="30" x14ac:dyDescent="0.25">
      <c r="A352" s="85">
        <v>45291</v>
      </c>
      <c r="B352" s="86" t="s">
        <v>513</v>
      </c>
      <c r="C352" s="87" t="s">
        <v>512</v>
      </c>
      <c r="D352" s="87" t="s">
        <v>591</v>
      </c>
      <c r="E352" s="87" t="s">
        <v>42</v>
      </c>
      <c r="F352" s="88" t="s">
        <v>543</v>
      </c>
      <c r="G352" s="88" t="s">
        <v>587</v>
      </c>
      <c r="H352" s="88" t="s">
        <v>560</v>
      </c>
      <c r="I352" s="89" t="s">
        <v>18</v>
      </c>
      <c r="J352" s="93" t="s">
        <v>558</v>
      </c>
      <c r="K352" s="30">
        <f>VLOOKUP(A352,CCPA_DataFile_23_3!$A:$G,6,0)</f>
        <v>12504765.752123363</v>
      </c>
      <c r="L352" s="34">
        <f>VLOOKUP($B352,QualitativeNotes!B:C,2,FALSE)</f>
        <v>0</v>
      </c>
    </row>
    <row r="353" spans="1:12" ht="45.75" customHeight="1" x14ac:dyDescent="0.25">
      <c r="A353" s="85">
        <v>45291</v>
      </c>
      <c r="B353" s="86" t="s">
        <v>517</v>
      </c>
      <c r="C353" s="87" t="s">
        <v>512</v>
      </c>
      <c r="D353" s="87" t="s">
        <v>518</v>
      </c>
      <c r="E353" s="87" t="s">
        <v>19</v>
      </c>
      <c r="F353" s="88" t="s">
        <v>543</v>
      </c>
      <c r="G353" s="88" t="s">
        <v>587</v>
      </c>
      <c r="H353" s="88" t="s">
        <v>560</v>
      </c>
      <c r="I353" s="89" t="s">
        <v>18</v>
      </c>
      <c r="J353" s="93" t="s">
        <v>558</v>
      </c>
      <c r="K353" s="30">
        <f>VLOOKUP(A353,CCPA_DataFile_23_3!$A:$G,7,0)</f>
        <v>221686382.03660437</v>
      </c>
      <c r="L353" s="34">
        <f>VLOOKUP($B353,QualitativeNotes!B:C,2,FALSE)</f>
        <v>0</v>
      </c>
    </row>
  </sheetData>
  <autoFilter ref="A1:L353" xr:uid="{7CC7778C-2FAC-487C-BEB4-3C76680E544B}"/>
  <phoneticPr fontId="8" type="noConversion"/>
  <pageMargins left="0.7" right="0.7" top="0.75" bottom="0.75" header="0.3" footer="0.3"/>
  <pageSetup paperSize="5" scale="52" orientation="landscape" r:id="rId1"/>
  <ignoredErrors>
    <ignoredError sqref="B316:B35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6"/>
  <sheetViews>
    <sheetView tabSelected="1"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91"/>
    <col min="2" max="4" width="21.7109375" style="90"/>
    <col min="5" max="15" width="21.7109375" style="137"/>
    <col min="16" max="16" width="21.7109375" style="138"/>
    <col min="17" max="19" width="21.7109375" style="139"/>
    <col min="20" max="21" width="83.7109375" style="138" bestFit="1" customWidth="1"/>
    <col min="22" max="22" width="21.7109375" style="140"/>
    <col min="23" max="23" width="21.7109375" style="138"/>
    <col min="24" max="24" width="21.7109375" style="141"/>
    <col min="25" max="25" width="21.7109375" style="139"/>
    <col min="26" max="26" width="95.28515625" style="138" customWidth="1"/>
    <col min="27" max="27" width="21.7109375" style="138"/>
    <col min="28" max="28" width="21.7109375" style="142"/>
    <col min="29" max="29" width="21.7109375" style="138"/>
    <col min="30" max="30" width="21.7109375" style="142"/>
    <col min="31" max="31" width="21.7109375" style="140"/>
    <col min="32" max="32" width="21.7109375" style="142"/>
    <col min="33" max="33" width="21.7109375" style="138"/>
    <col min="34" max="34" width="21.7109375" style="142"/>
    <col min="35" max="35" width="21.7109375" style="138"/>
    <col min="36" max="36" width="21.7109375" style="142"/>
    <col min="37" max="37" width="21.7109375" style="138"/>
    <col min="38" max="38" width="21.7109375" style="142"/>
    <col min="39" max="39" width="95.28515625" style="138" customWidth="1"/>
    <col min="40" max="40" width="21.7109375" style="138"/>
    <col min="41" max="41" width="21.7109375" style="142"/>
    <col min="42" max="42" width="21.7109375" style="139"/>
    <col min="43" max="44" width="21.7109375" style="138"/>
    <col min="45" max="45" width="21.7109375" style="139"/>
    <col min="46" max="46" width="21.7109375" style="140"/>
    <col min="47" max="51" width="21.7109375" style="137"/>
    <col min="52" max="54" width="21.7109375" style="138"/>
    <col min="55" max="55" width="21.7109375" style="137"/>
    <col min="56" max="56" width="21.7109375" style="139"/>
    <col min="57" max="62" width="21.7109375" style="140"/>
    <col min="63" max="67" width="21.7109375" style="138"/>
    <col min="68" max="71" width="21.7109375" style="140"/>
    <col min="72" max="78" width="21.7109375" style="137"/>
    <col min="79" max="79" width="79" style="138" bestFit="1" customWidth="1"/>
    <col min="80" max="80" width="21.7109375" style="138"/>
    <col min="81" max="82" width="21.7109375" style="140"/>
    <col min="83" max="84" width="21.7109375" style="137"/>
    <col min="85" max="91" width="21.7109375" style="140"/>
    <col min="92" max="92" width="21.7109375" style="137"/>
    <col min="93" max="97" width="21.7109375" style="140"/>
    <col min="98" max="98" width="21.7109375" style="137"/>
    <col min="99" max="99" width="21.7109375" style="138"/>
    <col min="100" max="100" width="79.28515625" style="138" customWidth="1"/>
    <col min="101" max="101" width="21.7109375" style="139"/>
    <col min="102" max="102" width="21.7109375" style="140"/>
    <col min="103" max="104" width="21.7109375" style="137"/>
    <col min="105" max="106" width="21.7109375" style="140"/>
    <col min="107" max="107" width="21.7109375" style="138"/>
    <col min="108" max="116" width="21.7109375" style="139"/>
    <col min="117" max="119" width="21.7109375" style="140"/>
    <col min="120" max="121" width="21.7109375" style="139"/>
    <col min="122" max="125" width="21.7109375" style="140"/>
    <col min="126" max="16384" width="21.7109375" style="90"/>
  </cols>
  <sheetData>
    <row r="1" spans="1:125" s="113" customFormat="1" ht="15" customHeight="1" x14ac:dyDescent="0.25">
      <c r="A1" s="112" t="s">
        <v>0</v>
      </c>
      <c r="B1" s="113" t="s">
        <v>1</v>
      </c>
      <c r="C1" s="113" t="s">
        <v>2</v>
      </c>
      <c r="D1" s="113" t="s">
        <v>3</v>
      </c>
      <c r="E1" s="114" t="s">
        <v>16</v>
      </c>
      <c r="F1" s="114" t="s">
        <v>22</v>
      </c>
      <c r="G1" s="114" t="s">
        <v>24</v>
      </c>
      <c r="H1" s="114" t="s">
        <v>26</v>
      </c>
      <c r="I1" s="114" t="s">
        <v>28</v>
      </c>
      <c r="J1" s="114" t="s">
        <v>30</v>
      </c>
      <c r="K1" s="114" t="s">
        <v>32</v>
      </c>
      <c r="L1" s="114" t="s">
        <v>34</v>
      </c>
      <c r="M1" s="114" t="s">
        <v>5</v>
      </c>
      <c r="N1" s="114" t="s">
        <v>37</v>
      </c>
      <c r="O1" s="114" t="s">
        <v>40</v>
      </c>
      <c r="P1" s="114" t="s">
        <v>78</v>
      </c>
      <c r="Q1" s="114" t="s">
        <v>6</v>
      </c>
      <c r="R1" s="114" t="s">
        <v>86</v>
      </c>
      <c r="S1" s="114" t="s">
        <v>97</v>
      </c>
      <c r="T1" s="114" t="s">
        <v>105</v>
      </c>
      <c r="U1" s="114" t="s">
        <v>109</v>
      </c>
      <c r="V1" s="114" t="s">
        <v>111</v>
      </c>
      <c r="W1" s="114" t="s">
        <v>114</v>
      </c>
      <c r="X1" s="114" t="s">
        <v>116</v>
      </c>
      <c r="Y1" s="114" t="s">
        <v>118</v>
      </c>
      <c r="Z1" s="114" t="s">
        <v>161</v>
      </c>
      <c r="AA1" s="114" t="s">
        <v>164</v>
      </c>
      <c r="AB1" s="114" t="s">
        <v>166</v>
      </c>
      <c r="AC1" s="114" t="s">
        <v>169</v>
      </c>
      <c r="AD1" s="114" t="s">
        <v>171</v>
      </c>
      <c r="AE1" s="114" t="s">
        <v>173</v>
      </c>
      <c r="AF1" s="114" t="s">
        <v>175</v>
      </c>
      <c r="AG1" s="114" t="s">
        <v>177</v>
      </c>
      <c r="AH1" s="114" t="s">
        <v>179</v>
      </c>
      <c r="AI1" s="114" t="s">
        <v>181</v>
      </c>
      <c r="AJ1" s="114" t="s">
        <v>183</v>
      </c>
      <c r="AK1" s="114" t="s">
        <v>185</v>
      </c>
      <c r="AL1" s="114" t="s">
        <v>187</v>
      </c>
      <c r="AM1" s="114" t="s">
        <v>189</v>
      </c>
      <c r="AN1" s="114" t="s">
        <v>191</v>
      </c>
      <c r="AO1" s="114" t="s">
        <v>193</v>
      </c>
      <c r="AP1" s="114" t="s">
        <v>196</v>
      </c>
      <c r="AQ1" s="114" t="s">
        <v>199</v>
      </c>
      <c r="AR1" s="114" t="s">
        <v>201</v>
      </c>
      <c r="AS1" s="114" t="s">
        <v>203</v>
      </c>
      <c r="AT1" s="114" t="s">
        <v>205</v>
      </c>
      <c r="AU1" s="114" t="s">
        <v>207</v>
      </c>
      <c r="AV1" s="114" t="s">
        <v>210</v>
      </c>
      <c r="AW1" s="114" t="s">
        <v>213</v>
      </c>
      <c r="AX1" s="114" t="s">
        <v>215</v>
      </c>
      <c r="AY1" s="114" t="s">
        <v>217</v>
      </c>
      <c r="AZ1" s="114" t="s">
        <v>219</v>
      </c>
      <c r="BA1" s="114" t="s">
        <v>239</v>
      </c>
      <c r="BB1" s="114" t="s">
        <v>241</v>
      </c>
      <c r="BC1" s="114" t="s">
        <v>244</v>
      </c>
      <c r="BD1" s="114" t="s">
        <v>250</v>
      </c>
      <c r="BE1" s="114" t="s">
        <v>266</v>
      </c>
      <c r="BF1" s="114" t="s">
        <v>268</v>
      </c>
      <c r="BG1" s="114" t="s">
        <v>270</v>
      </c>
      <c r="BH1" s="114" t="s">
        <v>273</v>
      </c>
      <c r="BI1" s="114" t="s">
        <v>275</v>
      </c>
      <c r="BJ1" s="114" t="s">
        <v>277</v>
      </c>
      <c r="BK1" s="114" t="s">
        <v>280</v>
      </c>
      <c r="BL1" s="114" t="s">
        <v>283</v>
      </c>
      <c r="BM1" s="114" t="s">
        <v>285</v>
      </c>
      <c r="BN1" s="114" t="s">
        <v>287</v>
      </c>
      <c r="BO1" s="114" t="s">
        <v>290</v>
      </c>
      <c r="BP1" s="114" t="s">
        <v>293</v>
      </c>
      <c r="BQ1" s="114" t="s">
        <v>295</v>
      </c>
      <c r="BR1" s="114" t="s">
        <v>297</v>
      </c>
      <c r="BS1" s="114" t="s">
        <v>299</v>
      </c>
      <c r="BT1" s="114" t="s">
        <v>302</v>
      </c>
      <c r="BU1" s="114" t="s">
        <v>305</v>
      </c>
      <c r="BV1" s="114" t="s">
        <v>308</v>
      </c>
      <c r="BW1" s="114" t="s">
        <v>310</v>
      </c>
      <c r="BX1" s="114" t="s">
        <v>312</v>
      </c>
      <c r="BY1" s="114" t="s">
        <v>314</v>
      </c>
      <c r="BZ1" s="114" t="s">
        <v>316</v>
      </c>
      <c r="CA1" s="114" t="s">
        <v>318</v>
      </c>
      <c r="CB1" s="114" t="s">
        <v>320</v>
      </c>
      <c r="CC1" s="114" t="s">
        <v>323</v>
      </c>
      <c r="CD1" s="114" t="s">
        <v>325</v>
      </c>
      <c r="CE1" s="114" t="s">
        <v>328</v>
      </c>
      <c r="CF1" s="114" t="s">
        <v>330</v>
      </c>
      <c r="CG1" s="114" t="s">
        <v>333</v>
      </c>
      <c r="CH1" s="114" t="s">
        <v>335</v>
      </c>
      <c r="CI1" s="114" t="s">
        <v>337</v>
      </c>
      <c r="CJ1" s="114" t="s">
        <v>339</v>
      </c>
      <c r="CK1" s="114" t="s">
        <v>341</v>
      </c>
      <c r="CL1" s="114" t="s">
        <v>343</v>
      </c>
      <c r="CM1" s="114" t="s">
        <v>345</v>
      </c>
      <c r="CN1" s="114" t="s">
        <v>351</v>
      </c>
      <c r="CO1" s="114" t="s">
        <v>354</v>
      </c>
      <c r="CP1" s="114" t="s">
        <v>356</v>
      </c>
      <c r="CQ1" s="114" t="s">
        <v>358</v>
      </c>
      <c r="CR1" s="114" t="s">
        <v>360</v>
      </c>
      <c r="CS1" s="114" t="s">
        <v>362</v>
      </c>
      <c r="CT1" s="114" t="s">
        <v>367</v>
      </c>
      <c r="CU1" s="114" t="s">
        <v>369</v>
      </c>
      <c r="CV1" s="114" t="s">
        <v>371</v>
      </c>
      <c r="CW1" s="114" t="s">
        <v>373</v>
      </c>
      <c r="CX1" s="114" t="s">
        <v>375</v>
      </c>
      <c r="CY1" s="114" t="s">
        <v>378</v>
      </c>
      <c r="CZ1" s="114" t="s">
        <v>380</v>
      </c>
      <c r="DA1" s="114" t="s">
        <v>389</v>
      </c>
      <c r="DB1" s="114" t="s">
        <v>391</v>
      </c>
      <c r="DC1" s="114" t="s">
        <v>399</v>
      </c>
      <c r="DD1" s="114" t="s">
        <v>402</v>
      </c>
      <c r="DE1" s="114" t="s">
        <v>404</v>
      </c>
      <c r="DF1" s="114" t="s">
        <v>406</v>
      </c>
      <c r="DG1" s="114" t="s">
        <v>408</v>
      </c>
      <c r="DH1" s="114" t="s">
        <v>410</v>
      </c>
      <c r="DI1" s="114" t="s">
        <v>412</v>
      </c>
      <c r="DJ1" s="114" t="s">
        <v>414</v>
      </c>
      <c r="DK1" s="114" t="s">
        <v>416</v>
      </c>
      <c r="DL1" s="114" t="s">
        <v>418</v>
      </c>
      <c r="DM1" s="114" t="s">
        <v>437</v>
      </c>
      <c r="DN1" s="114" t="s">
        <v>439</v>
      </c>
      <c r="DO1" s="114" t="s">
        <v>441</v>
      </c>
      <c r="DP1" s="114" t="s">
        <v>444</v>
      </c>
      <c r="DQ1" s="114" t="s">
        <v>446</v>
      </c>
      <c r="DR1" s="114" t="s">
        <v>448</v>
      </c>
      <c r="DS1" s="114" t="s">
        <v>450</v>
      </c>
      <c r="DT1" s="114" t="s">
        <v>452</v>
      </c>
      <c r="DU1" s="114" t="s">
        <v>454</v>
      </c>
    </row>
    <row r="2" spans="1:125" s="131" customFormat="1" ht="15" customHeight="1" x14ac:dyDescent="0.25">
      <c r="A2" s="115">
        <v>45016</v>
      </c>
      <c r="B2" s="19" t="s">
        <v>530</v>
      </c>
      <c r="C2" s="19" t="s">
        <v>578</v>
      </c>
      <c r="D2" s="19" t="s">
        <v>560</v>
      </c>
      <c r="E2" s="116">
        <v>1076971.6599999999</v>
      </c>
      <c r="F2" s="116">
        <v>0</v>
      </c>
      <c r="G2" s="116">
        <v>0</v>
      </c>
      <c r="H2" s="116">
        <v>21284398.93</v>
      </c>
      <c r="I2" s="116">
        <v>21284398.93</v>
      </c>
      <c r="J2" s="116">
        <v>0</v>
      </c>
      <c r="K2" s="116">
        <v>1076971.6599999999</v>
      </c>
      <c r="L2" s="116">
        <v>106421994.65000001</v>
      </c>
      <c r="M2" s="116">
        <v>106421994.65000001</v>
      </c>
      <c r="N2" s="116">
        <v>0</v>
      </c>
      <c r="O2" s="116">
        <v>0</v>
      </c>
      <c r="P2" s="117" t="s">
        <v>564</v>
      </c>
      <c r="Q2" s="117">
        <v>3</v>
      </c>
      <c r="R2" s="118">
        <v>0</v>
      </c>
      <c r="S2" s="118">
        <v>0</v>
      </c>
      <c r="T2" s="119" t="s">
        <v>599</v>
      </c>
      <c r="U2" s="119" t="s">
        <v>599</v>
      </c>
      <c r="V2" s="120">
        <v>0.99</v>
      </c>
      <c r="W2" s="121" t="s">
        <v>565</v>
      </c>
      <c r="X2" s="122" t="s">
        <v>566</v>
      </c>
      <c r="Y2" s="122">
        <v>0</v>
      </c>
      <c r="Z2" s="123" t="s">
        <v>586</v>
      </c>
      <c r="AA2" s="124" t="s">
        <v>567</v>
      </c>
      <c r="AB2" s="115" t="s">
        <v>568</v>
      </c>
      <c r="AC2" s="124" t="s">
        <v>567</v>
      </c>
      <c r="AD2" s="115" t="s">
        <v>568</v>
      </c>
      <c r="AE2" s="125">
        <v>0.99</v>
      </c>
      <c r="AF2" s="115" t="s">
        <v>568</v>
      </c>
      <c r="AG2" s="19" t="s">
        <v>569</v>
      </c>
      <c r="AH2" s="115" t="s">
        <v>568</v>
      </c>
      <c r="AI2" s="19" t="s">
        <v>568</v>
      </c>
      <c r="AJ2" s="115" t="s">
        <v>568</v>
      </c>
      <c r="AK2" s="19" t="s">
        <v>565</v>
      </c>
      <c r="AL2" s="115" t="s">
        <v>568</v>
      </c>
      <c r="AM2" s="123" t="s">
        <v>586</v>
      </c>
      <c r="AN2" s="124" t="s">
        <v>570</v>
      </c>
      <c r="AO2" s="115">
        <v>45016</v>
      </c>
      <c r="AP2" s="126">
        <v>2</v>
      </c>
      <c r="AQ2" s="19" t="s">
        <v>571</v>
      </c>
      <c r="AR2" s="19" t="s">
        <v>572</v>
      </c>
      <c r="AS2" s="126">
        <v>15445</v>
      </c>
      <c r="AT2" s="127">
        <v>0.99987050825509871</v>
      </c>
      <c r="AU2" s="116">
        <v>3639.16</v>
      </c>
      <c r="AV2" s="116">
        <v>2150.9</v>
      </c>
      <c r="AW2" s="116">
        <v>0</v>
      </c>
      <c r="AX2" s="116">
        <v>0</v>
      </c>
      <c r="AY2" s="116">
        <v>3325539.4275000002</v>
      </c>
      <c r="AZ2" s="19" t="s">
        <v>573</v>
      </c>
      <c r="BA2" s="19">
        <v>0</v>
      </c>
      <c r="BB2" s="19" t="s">
        <v>568</v>
      </c>
      <c r="BC2" s="116" t="s">
        <v>568</v>
      </c>
      <c r="BD2" s="126">
        <v>0</v>
      </c>
      <c r="BE2" s="127">
        <v>1</v>
      </c>
      <c r="BF2" s="127">
        <v>0</v>
      </c>
      <c r="BG2" s="127">
        <v>0</v>
      </c>
      <c r="BH2" s="127">
        <v>1</v>
      </c>
      <c r="BI2" s="127">
        <v>0</v>
      </c>
      <c r="BJ2" s="127">
        <v>0</v>
      </c>
      <c r="BK2" s="117">
        <v>0</v>
      </c>
      <c r="BL2" s="117">
        <v>0</v>
      </c>
      <c r="BM2" s="117">
        <v>0</v>
      </c>
      <c r="BN2" s="117">
        <v>0</v>
      </c>
      <c r="BO2" s="117">
        <v>0</v>
      </c>
      <c r="BP2" s="127">
        <v>1.2E-2</v>
      </c>
      <c r="BQ2" s="127">
        <v>0.98799999999999999</v>
      </c>
      <c r="BR2" s="127">
        <v>0</v>
      </c>
      <c r="BS2" s="127">
        <v>0</v>
      </c>
      <c r="BT2" s="128">
        <v>1856913.915</v>
      </c>
      <c r="BU2" s="128">
        <v>1856913.915</v>
      </c>
      <c r="BV2" s="128">
        <v>5581155.5099999998</v>
      </c>
      <c r="BW2" s="128">
        <v>4000980.69</v>
      </c>
      <c r="BX2" s="128">
        <v>1580174.8199999998</v>
      </c>
      <c r="BY2" s="128">
        <v>178081138.78999999</v>
      </c>
      <c r="BZ2" s="128">
        <v>178081138.78999999</v>
      </c>
      <c r="CA2" s="124" t="s">
        <v>574</v>
      </c>
      <c r="CB2" s="124" t="s">
        <v>568</v>
      </c>
      <c r="CC2" s="125">
        <v>1</v>
      </c>
      <c r="CD2" s="125">
        <v>0</v>
      </c>
      <c r="CE2" s="128">
        <v>1547401.18</v>
      </c>
      <c r="CF2" s="128">
        <v>26595882.899999999</v>
      </c>
      <c r="CG2" s="127">
        <v>1</v>
      </c>
      <c r="CH2" s="127">
        <v>0.94501703583699181</v>
      </c>
      <c r="CI2" s="127">
        <v>0</v>
      </c>
      <c r="CJ2" s="127">
        <v>0</v>
      </c>
      <c r="CK2" s="127">
        <v>5.4982964163008227E-2</v>
      </c>
      <c r="CL2" s="127">
        <v>0</v>
      </c>
      <c r="CM2" s="127">
        <v>0</v>
      </c>
      <c r="CN2" s="127">
        <v>0</v>
      </c>
      <c r="CO2" s="127" t="s">
        <v>568</v>
      </c>
      <c r="CP2" s="127" t="s">
        <v>568</v>
      </c>
      <c r="CQ2" s="127" t="s">
        <v>568</v>
      </c>
      <c r="CR2" s="127" t="s">
        <v>568</v>
      </c>
      <c r="CS2" s="127" t="s">
        <v>568</v>
      </c>
      <c r="CT2" s="116" t="s">
        <v>568</v>
      </c>
      <c r="CU2" s="117" t="s">
        <v>568</v>
      </c>
      <c r="CV2" s="129" t="s">
        <v>575</v>
      </c>
      <c r="CW2" s="126">
        <v>0</v>
      </c>
      <c r="CX2" s="127">
        <v>0</v>
      </c>
      <c r="CY2" s="116" t="s">
        <v>568</v>
      </c>
      <c r="CZ2" s="116" t="s">
        <v>568</v>
      </c>
      <c r="DA2" s="127">
        <v>0.995</v>
      </c>
      <c r="DB2" s="127">
        <v>0.99783984422538641</v>
      </c>
      <c r="DC2" s="19" t="s">
        <v>576</v>
      </c>
      <c r="DD2" s="126">
        <v>9</v>
      </c>
      <c r="DE2" s="126">
        <v>28</v>
      </c>
      <c r="DF2" s="126" t="s">
        <v>568</v>
      </c>
      <c r="DG2" s="126">
        <v>0</v>
      </c>
      <c r="DH2" s="126">
        <v>0</v>
      </c>
      <c r="DI2" s="126">
        <v>30</v>
      </c>
      <c r="DJ2" s="126">
        <v>7</v>
      </c>
      <c r="DK2" s="126">
        <v>19</v>
      </c>
      <c r="DL2" s="126">
        <v>18</v>
      </c>
      <c r="DM2" s="127" t="s">
        <v>568</v>
      </c>
      <c r="DN2" s="127">
        <v>0.432450533382293</v>
      </c>
      <c r="DO2" s="127">
        <v>0.74315214265719498</v>
      </c>
      <c r="DP2" s="130" t="s">
        <v>568</v>
      </c>
      <c r="DQ2" s="130">
        <v>37</v>
      </c>
      <c r="DR2" s="127">
        <v>0.45190255233975402</v>
      </c>
      <c r="DS2" s="127">
        <v>0.32350205944242699</v>
      </c>
      <c r="DT2" s="127">
        <v>0.61065703965861096</v>
      </c>
      <c r="DU2" s="127">
        <v>0.53643765649836805</v>
      </c>
    </row>
    <row r="3" spans="1:125" s="131" customFormat="1" ht="15" customHeight="1" x14ac:dyDescent="0.25">
      <c r="A3" s="115">
        <v>45107</v>
      </c>
      <c r="B3" s="19" t="s">
        <v>530</v>
      </c>
      <c r="C3" s="19" t="s">
        <v>578</v>
      </c>
      <c r="D3" s="19" t="s">
        <v>560</v>
      </c>
      <c r="E3" s="116">
        <v>1414850.49</v>
      </c>
      <c r="F3" s="116">
        <v>0</v>
      </c>
      <c r="G3" s="116">
        <v>0</v>
      </c>
      <c r="H3" s="116">
        <v>20921788.489999998</v>
      </c>
      <c r="I3" s="116">
        <v>20921788.489999998</v>
      </c>
      <c r="J3" s="116">
        <v>0</v>
      </c>
      <c r="K3" s="116">
        <v>1414850.49</v>
      </c>
      <c r="L3" s="116">
        <v>104608942.44999999</v>
      </c>
      <c r="M3" s="116">
        <v>104608942.44999999</v>
      </c>
      <c r="N3" s="116">
        <v>0</v>
      </c>
      <c r="O3" s="116">
        <v>0</v>
      </c>
      <c r="P3" s="117" t="s">
        <v>564</v>
      </c>
      <c r="Q3" s="117">
        <v>3</v>
      </c>
      <c r="R3" s="118">
        <v>0</v>
      </c>
      <c r="S3" s="118">
        <v>0</v>
      </c>
      <c r="T3" s="119" t="s">
        <v>599</v>
      </c>
      <c r="U3" s="119" t="s">
        <v>599</v>
      </c>
      <c r="V3" s="120">
        <v>0.99</v>
      </c>
      <c r="W3" s="121" t="s">
        <v>565</v>
      </c>
      <c r="X3" s="122" t="s">
        <v>566</v>
      </c>
      <c r="Y3" s="122">
        <v>0</v>
      </c>
      <c r="Z3" s="123" t="s">
        <v>586</v>
      </c>
      <c r="AA3" s="124" t="s">
        <v>567</v>
      </c>
      <c r="AB3" s="115" t="s">
        <v>568</v>
      </c>
      <c r="AC3" s="124" t="s">
        <v>567</v>
      </c>
      <c r="AD3" s="115" t="s">
        <v>568</v>
      </c>
      <c r="AE3" s="125">
        <v>0.99</v>
      </c>
      <c r="AF3" s="115" t="s">
        <v>568</v>
      </c>
      <c r="AG3" s="19" t="s">
        <v>569</v>
      </c>
      <c r="AH3" s="115" t="s">
        <v>568</v>
      </c>
      <c r="AI3" s="19" t="s">
        <v>568</v>
      </c>
      <c r="AJ3" s="115" t="s">
        <v>568</v>
      </c>
      <c r="AK3" s="19" t="s">
        <v>565</v>
      </c>
      <c r="AL3" s="115" t="s">
        <v>568</v>
      </c>
      <c r="AM3" s="123" t="s">
        <v>586</v>
      </c>
      <c r="AN3" s="124" t="s">
        <v>570</v>
      </c>
      <c r="AO3" s="115">
        <v>45107</v>
      </c>
      <c r="AP3" s="126">
        <v>1</v>
      </c>
      <c r="AQ3" s="19" t="s">
        <v>571</v>
      </c>
      <c r="AR3" s="19" t="s">
        <v>572</v>
      </c>
      <c r="AS3" s="126">
        <v>15264</v>
      </c>
      <c r="AT3" s="127">
        <v>0.99987050825509871</v>
      </c>
      <c r="AU3" s="116">
        <v>3639.16</v>
      </c>
      <c r="AV3" s="116">
        <v>3639.16</v>
      </c>
      <c r="AW3" s="116">
        <v>0</v>
      </c>
      <c r="AX3" s="116">
        <v>0</v>
      </c>
      <c r="AY3" s="116">
        <v>5984751.1009999998</v>
      </c>
      <c r="AZ3" s="19" t="s">
        <v>573</v>
      </c>
      <c r="BA3" s="19">
        <v>0</v>
      </c>
      <c r="BB3" s="19" t="s">
        <v>568</v>
      </c>
      <c r="BC3" s="116" t="s">
        <v>568</v>
      </c>
      <c r="BD3" s="126">
        <v>0</v>
      </c>
      <c r="BE3" s="127">
        <v>1</v>
      </c>
      <c r="BF3" s="127">
        <v>0</v>
      </c>
      <c r="BG3" s="127">
        <v>0</v>
      </c>
      <c r="BH3" s="127">
        <v>1</v>
      </c>
      <c r="BI3" s="127">
        <v>0</v>
      </c>
      <c r="BJ3" s="127">
        <v>0</v>
      </c>
      <c r="BK3" s="117">
        <v>0</v>
      </c>
      <c r="BL3" s="117">
        <v>0</v>
      </c>
      <c r="BM3" s="117">
        <v>0</v>
      </c>
      <c r="BN3" s="117">
        <v>0</v>
      </c>
      <c r="BO3" s="117">
        <v>0</v>
      </c>
      <c r="BP3" s="127">
        <v>0.04</v>
      </c>
      <c r="BQ3" s="127">
        <v>0.96</v>
      </c>
      <c r="BR3" s="127">
        <v>0</v>
      </c>
      <c r="BS3" s="127">
        <v>0</v>
      </c>
      <c r="BT3" s="128">
        <v>1856913.915</v>
      </c>
      <c r="BU3" s="128">
        <v>1856913.915</v>
      </c>
      <c r="BV3" s="128">
        <v>5581155.5099999998</v>
      </c>
      <c r="BW3" s="128">
        <v>4000980.69</v>
      </c>
      <c r="BX3" s="128">
        <v>1580174.8199999998</v>
      </c>
      <c r="BY3" s="128">
        <v>178081138.78999999</v>
      </c>
      <c r="BZ3" s="128">
        <v>178081138.78999999</v>
      </c>
      <c r="CA3" s="124" t="s">
        <v>574</v>
      </c>
      <c r="CB3" s="124" t="s">
        <v>568</v>
      </c>
      <c r="CC3" s="125">
        <v>1</v>
      </c>
      <c r="CD3" s="125">
        <v>0</v>
      </c>
      <c r="CE3" s="128">
        <v>1547401.18</v>
      </c>
      <c r="CF3" s="128">
        <v>26595882.899999999</v>
      </c>
      <c r="CG3" s="127">
        <v>1</v>
      </c>
      <c r="CH3" s="127">
        <v>0.94501703583699181</v>
      </c>
      <c r="CI3" s="127">
        <v>0</v>
      </c>
      <c r="CJ3" s="127">
        <v>0</v>
      </c>
      <c r="CK3" s="127">
        <v>5.4982964163008227E-2</v>
      </c>
      <c r="CL3" s="127">
        <v>0</v>
      </c>
      <c r="CM3" s="127">
        <v>0</v>
      </c>
      <c r="CN3" s="127">
        <v>0</v>
      </c>
      <c r="CO3" s="127" t="s">
        <v>568</v>
      </c>
      <c r="CP3" s="127" t="s">
        <v>568</v>
      </c>
      <c r="CQ3" s="127" t="s">
        <v>568</v>
      </c>
      <c r="CR3" s="127" t="s">
        <v>568</v>
      </c>
      <c r="CS3" s="127" t="s">
        <v>568</v>
      </c>
      <c r="CT3" s="116" t="s">
        <v>568</v>
      </c>
      <c r="CU3" s="117" t="s">
        <v>568</v>
      </c>
      <c r="CV3" s="129" t="s">
        <v>577</v>
      </c>
      <c r="CW3" s="126">
        <v>0</v>
      </c>
      <c r="CX3" s="127">
        <v>0</v>
      </c>
      <c r="CY3" s="116" t="s">
        <v>568</v>
      </c>
      <c r="CZ3" s="116" t="s">
        <v>568</v>
      </c>
      <c r="DA3" s="127">
        <v>0.995</v>
      </c>
      <c r="DB3" s="127">
        <v>0.99587440671778016</v>
      </c>
      <c r="DC3" s="19" t="s">
        <v>576</v>
      </c>
      <c r="DD3" s="126">
        <v>9</v>
      </c>
      <c r="DE3" s="126">
        <v>28</v>
      </c>
      <c r="DF3" s="126" t="s">
        <v>568</v>
      </c>
      <c r="DG3" s="126">
        <v>0</v>
      </c>
      <c r="DH3" s="126">
        <v>0</v>
      </c>
      <c r="DI3" s="126">
        <v>30</v>
      </c>
      <c r="DJ3" s="126">
        <v>7</v>
      </c>
      <c r="DK3" s="126">
        <v>19</v>
      </c>
      <c r="DL3" s="126">
        <v>18</v>
      </c>
      <c r="DM3" s="127" t="s">
        <v>568</v>
      </c>
      <c r="DN3" s="127">
        <v>0.43994564204678099</v>
      </c>
      <c r="DO3" s="127">
        <v>0.75603224253797996</v>
      </c>
      <c r="DP3" s="130" t="s">
        <v>568</v>
      </c>
      <c r="DQ3" s="130">
        <v>37</v>
      </c>
      <c r="DR3" s="127">
        <v>0.50683623674606604</v>
      </c>
      <c r="DS3" s="127">
        <v>0.35146348688477302</v>
      </c>
      <c r="DT3" s="127">
        <v>0.69989686405556295</v>
      </c>
      <c r="DU3" s="127">
        <v>0.55435634382973598</v>
      </c>
    </row>
    <row r="4" spans="1:125" s="131" customFormat="1" ht="15" customHeight="1" x14ac:dyDescent="0.25">
      <c r="A4" s="115">
        <v>45199</v>
      </c>
      <c r="B4" s="19" t="s">
        <v>530</v>
      </c>
      <c r="C4" s="19" t="s">
        <v>578</v>
      </c>
      <c r="D4" s="19" t="s">
        <v>560</v>
      </c>
      <c r="E4" s="116">
        <v>1500049.57</v>
      </c>
      <c r="F4" s="116">
        <v>0</v>
      </c>
      <c r="G4" s="116">
        <v>0</v>
      </c>
      <c r="H4" s="116">
        <v>23139193.120000001</v>
      </c>
      <c r="I4" s="116">
        <v>23139193.120000001</v>
      </c>
      <c r="J4" s="116">
        <v>0</v>
      </c>
      <c r="K4" s="116">
        <v>1500049.57</v>
      </c>
      <c r="L4" s="116">
        <v>115695965.60000001</v>
      </c>
      <c r="M4" s="116">
        <v>115695965.60000001</v>
      </c>
      <c r="N4" s="116">
        <v>0</v>
      </c>
      <c r="O4" s="116">
        <v>0</v>
      </c>
      <c r="P4" s="117" t="s">
        <v>564</v>
      </c>
      <c r="Q4" s="117">
        <v>3</v>
      </c>
      <c r="R4" s="118">
        <v>0</v>
      </c>
      <c r="S4" s="118">
        <v>0</v>
      </c>
      <c r="T4" s="119" t="s">
        <v>599</v>
      </c>
      <c r="U4" s="119" t="s">
        <v>599</v>
      </c>
      <c r="V4" s="120">
        <v>0.99</v>
      </c>
      <c r="W4" s="121" t="s">
        <v>565</v>
      </c>
      <c r="X4" s="122" t="s">
        <v>566</v>
      </c>
      <c r="Y4" s="122">
        <v>0</v>
      </c>
      <c r="Z4" s="123" t="s">
        <v>586</v>
      </c>
      <c r="AA4" s="124" t="s">
        <v>567</v>
      </c>
      <c r="AB4" s="115" t="s">
        <v>568</v>
      </c>
      <c r="AC4" s="124" t="s">
        <v>567</v>
      </c>
      <c r="AD4" s="115" t="s">
        <v>568</v>
      </c>
      <c r="AE4" s="125">
        <v>0.99</v>
      </c>
      <c r="AF4" s="115" t="s">
        <v>568</v>
      </c>
      <c r="AG4" s="19" t="s">
        <v>569</v>
      </c>
      <c r="AH4" s="115" t="s">
        <v>568</v>
      </c>
      <c r="AI4" s="19" t="s">
        <v>568</v>
      </c>
      <c r="AJ4" s="115" t="s">
        <v>568</v>
      </c>
      <c r="AK4" s="19" t="s">
        <v>565</v>
      </c>
      <c r="AL4" s="115" t="s">
        <v>568</v>
      </c>
      <c r="AM4" s="123" t="s">
        <v>586</v>
      </c>
      <c r="AN4" s="124" t="s">
        <v>570</v>
      </c>
      <c r="AO4" s="115">
        <v>45199</v>
      </c>
      <c r="AP4" s="126">
        <v>2</v>
      </c>
      <c r="AQ4" s="19" t="s">
        <v>571</v>
      </c>
      <c r="AR4" s="19" t="s">
        <v>572</v>
      </c>
      <c r="AS4" s="126">
        <v>15078</v>
      </c>
      <c r="AT4" s="127">
        <v>0.99993367820665868</v>
      </c>
      <c r="AU4" s="116">
        <v>3639.16</v>
      </c>
      <c r="AV4" s="116">
        <v>2865.5649999999996</v>
      </c>
      <c r="AW4" s="116">
        <v>0</v>
      </c>
      <c r="AX4" s="116">
        <v>0</v>
      </c>
      <c r="AY4" s="116">
        <v>6224919.5640000002</v>
      </c>
      <c r="AZ4" s="19" t="s">
        <v>573</v>
      </c>
      <c r="BA4" s="19">
        <v>0</v>
      </c>
      <c r="BB4" s="19" t="s">
        <v>568</v>
      </c>
      <c r="BC4" s="116" t="s">
        <v>568</v>
      </c>
      <c r="BD4" s="126">
        <v>0</v>
      </c>
      <c r="BE4" s="127">
        <v>1</v>
      </c>
      <c r="BF4" s="127">
        <v>0</v>
      </c>
      <c r="BG4" s="127">
        <v>0</v>
      </c>
      <c r="BH4" s="127">
        <v>1</v>
      </c>
      <c r="BI4" s="127">
        <v>0</v>
      </c>
      <c r="BJ4" s="127">
        <v>0</v>
      </c>
      <c r="BK4" s="117">
        <v>0</v>
      </c>
      <c r="BL4" s="117">
        <v>0</v>
      </c>
      <c r="BM4" s="117">
        <v>0</v>
      </c>
      <c r="BN4" s="117">
        <v>0</v>
      </c>
      <c r="BO4" s="117">
        <v>0</v>
      </c>
      <c r="BP4" s="127">
        <v>4.1000000000000002E-2</v>
      </c>
      <c r="BQ4" s="127">
        <v>0.95899999999999996</v>
      </c>
      <c r="BR4" s="127">
        <v>0</v>
      </c>
      <c r="BS4" s="127">
        <v>0</v>
      </c>
      <c r="BT4" s="128">
        <v>1856913.915</v>
      </c>
      <c r="BU4" s="128">
        <v>1856913.915</v>
      </c>
      <c r="BV4" s="128">
        <v>5581155.5099999998</v>
      </c>
      <c r="BW4" s="128">
        <v>4000980.69</v>
      </c>
      <c r="BX4" s="128">
        <v>1580174.8199999998</v>
      </c>
      <c r="BY4" s="128">
        <v>178081138.78999999</v>
      </c>
      <c r="BZ4" s="128">
        <v>178081138.78999999</v>
      </c>
      <c r="CA4" s="124" t="s">
        <v>574</v>
      </c>
      <c r="CB4" s="124" t="s">
        <v>568</v>
      </c>
      <c r="CC4" s="125">
        <v>1</v>
      </c>
      <c r="CD4" s="125">
        <v>0</v>
      </c>
      <c r="CE4" s="128">
        <v>647401.18000000005</v>
      </c>
      <c r="CF4" s="128">
        <v>26044102.989999998</v>
      </c>
      <c r="CG4" s="127">
        <v>1</v>
      </c>
      <c r="CH4" s="127">
        <v>0.97574504696787945</v>
      </c>
      <c r="CI4" s="127">
        <v>0</v>
      </c>
      <c r="CJ4" s="127">
        <v>0</v>
      </c>
      <c r="CK4" s="127">
        <v>2.4254953032120562E-2</v>
      </c>
      <c r="CL4" s="127">
        <v>0</v>
      </c>
      <c r="CM4" s="127">
        <v>0</v>
      </c>
      <c r="CN4" s="127">
        <v>0</v>
      </c>
      <c r="CO4" s="127" t="s">
        <v>568</v>
      </c>
      <c r="CP4" s="127" t="s">
        <v>568</v>
      </c>
      <c r="CQ4" s="127" t="s">
        <v>568</v>
      </c>
      <c r="CR4" s="127" t="s">
        <v>568</v>
      </c>
      <c r="CS4" s="127" t="s">
        <v>568</v>
      </c>
      <c r="CT4" s="116" t="s">
        <v>568</v>
      </c>
      <c r="CU4" s="117" t="s">
        <v>568</v>
      </c>
      <c r="CV4" s="129" t="s">
        <v>577</v>
      </c>
      <c r="CW4" s="126">
        <v>0</v>
      </c>
      <c r="CX4" s="127">
        <v>0</v>
      </c>
      <c r="CY4" s="116" t="s">
        <v>568</v>
      </c>
      <c r="CZ4" s="116" t="s">
        <v>568</v>
      </c>
      <c r="DA4" s="127">
        <v>0.995</v>
      </c>
      <c r="DB4" s="127">
        <v>0.99523548740416212</v>
      </c>
      <c r="DC4" s="19" t="s">
        <v>576</v>
      </c>
      <c r="DD4" s="126">
        <v>9</v>
      </c>
      <c r="DE4" s="126">
        <v>28</v>
      </c>
      <c r="DF4" s="126" t="s">
        <v>568</v>
      </c>
      <c r="DG4" s="126">
        <v>0</v>
      </c>
      <c r="DH4" s="126">
        <v>0</v>
      </c>
      <c r="DI4" s="126">
        <v>30</v>
      </c>
      <c r="DJ4" s="126">
        <v>7</v>
      </c>
      <c r="DK4" s="126">
        <v>19</v>
      </c>
      <c r="DL4" s="126">
        <v>18</v>
      </c>
      <c r="DM4" s="127" t="s">
        <v>568</v>
      </c>
      <c r="DN4" s="127">
        <v>0.45806651748969901</v>
      </c>
      <c r="DO4" s="127">
        <v>0.76713323830887303</v>
      </c>
      <c r="DP4" s="130" t="s">
        <v>568</v>
      </c>
      <c r="DQ4" s="130">
        <v>37</v>
      </c>
      <c r="DR4" s="127">
        <v>0.45711750761633402</v>
      </c>
      <c r="DS4" s="127">
        <v>0.36415732632787301</v>
      </c>
      <c r="DT4" s="127">
        <v>0.64653048835384996</v>
      </c>
      <c r="DU4" s="127">
        <v>0.53571870060785998</v>
      </c>
    </row>
    <row r="5" spans="1:125" s="131" customFormat="1" ht="15" customHeight="1" x14ac:dyDescent="0.25">
      <c r="A5" s="115">
        <v>45291</v>
      </c>
      <c r="B5" s="19" t="s">
        <v>530</v>
      </c>
      <c r="C5" s="19" t="s">
        <v>578</v>
      </c>
      <c r="D5" s="19" t="s">
        <v>560</v>
      </c>
      <c r="E5" s="116">
        <v>0</v>
      </c>
      <c r="F5" s="116">
        <v>0</v>
      </c>
      <c r="G5" s="116">
        <v>1539860.62</v>
      </c>
      <c r="H5" s="116">
        <v>23389530</v>
      </c>
      <c r="I5" s="116">
        <v>23389530</v>
      </c>
      <c r="J5" s="116">
        <v>0</v>
      </c>
      <c r="K5" s="116">
        <v>1539860.62</v>
      </c>
      <c r="L5" s="116">
        <v>116947650</v>
      </c>
      <c r="M5" s="116">
        <v>116947650</v>
      </c>
      <c r="N5" s="116">
        <v>0</v>
      </c>
      <c r="O5" s="116">
        <v>0</v>
      </c>
      <c r="P5" s="117" t="s">
        <v>564</v>
      </c>
      <c r="Q5" s="117">
        <v>3</v>
      </c>
      <c r="R5" s="118">
        <v>0</v>
      </c>
      <c r="S5" s="118">
        <v>0</v>
      </c>
      <c r="T5" s="119" t="s">
        <v>599</v>
      </c>
      <c r="U5" s="119" t="s">
        <v>599</v>
      </c>
      <c r="V5" s="120">
        <v>0.99</v>
      </c>
      <c r="W5" s="121" t="s">
        <v>565</v>
      </c>
      <c r="X5" s="122" t="s">
        <v>566</v>
      </c>
      <c r="Y5" s="122">
        <v>0</v>
      </c>
      <c r="Z5" s="123" t="s">
        <v>586</v>
      </c>
      <c r="AA5" s="124" t="s">
        <v>567</v>
      </c>
      <c r="AB5" s="115" t="s">
        <v>568</v>
      </c>
      <c r="AC5" s="124" t="s">
        <v>567</v>
      </c>
      <c r="AD5" s="115" t="s">
        <v>568</v>
      </c>
      <c r="AE5" s="125">
        <v>0.99</v>
      </c>
      <c r="AF5" s="115" t="s">
        <v>568</v>
      </c>
      <c r="AG5" s="19" t="s">
        <v>569</v>
      </c>
      <c r="AH5" s="115" t="s">
        <v>568</v>
      </c>
      <c r="AI5" s="19" t="s">
        <v>568</v>
      </c>
      <c r="AJ5" s="115" t="s">
        <v>568</v>
      </c>
      <c r="AK5" s="19" t="s">
        <v>565</v>
      </c>
      <c r="AL5" s="115" t="s">
        <v>568</v>
      </c>
      <c r="AM5" s="123" t="s">
        <v>586</v>
      </c>
      <c r="AN5" s="124" t="s">
        <v>570</v>
      </c>
      <c r="AO5" s="115">
        <v>45291</v>
      </c>
      <c r="AP5" s="126">
        <v>1</v>
      </c>
      <c r="AQ5" s="19" t="s">
        <v>571</v>
      </c>
      <c r="AR5" s="19" t="s">
        <v>572</v>
      </c>
      <c r="AS5" s="126">
        <v>14932</v>
      </c>
      <c r="AT5" s="127">
        <v>1</v>
      </c>
      <c r="AU5" s="116">
        <v>2091.9699999999998</v>
      </c>
      <c r="AV5" s="116">
        <v>2091.9699999999998</v>
      </c>
      <c r="AW5" s="116">
        <v>0</v>
      </c>
      <c r="AX5" s="116">
        <v>0</v>
      </c>
      <c r="AY5" s="116">
        <v>4332815.602</v>
      </c>
      <c r="AZ5" s="19" t="s">
        <v>573</v>
      </c>
      <c r="BA5" s="19">
        <v>0</v>
      </c>
      <c r="BB5" s="19" t="s">
        <v>568</v>
      </c>
      <c r="BC5" s="116" t="s">
        <v>568</v>
      </c>
      <c r="BD5" s="126">
        <v>0</v>
      </c>
      <c r="BE5" s="127">
        <v>1</v>
      </c>
      <c r="BF5" s="127">
        <v>0</v>
      </c>
      <c r="BG5" s="127">
        <v>0</v>
      </c>
      <c r="BH5" s="127">
        <v>1</v>
      </c>
      <c r="BI5" s="127">
        <v>0</v>
      </c>
      <c r="BJ5" s="127">
        <v>0</v>
      </c>
      <c r="BK5" s="117">
        <v>0</v>
      </c>
      <c r="BL5" s="117">
        <v>0</v>
      </c>
      <c r="BM5" s="117">
        <v>0</v>
      </c>
      <c r="BN5" s="117">
        <v>0</v>
      </c>
      <c r="BO5" s="117">
        <v>0</v>
      </c>
      <c r="BP5" s="127">
        <v>2.3E-2</v>
      </c>
      <c r="BQ5" s="127">
        <v>0.97699999999999998</v>
      </c>
      <c r="BR5" s="127">
        <v>0</v>
      </c>
      <c r="BS5" s="127">
        <v>0</v>
      </c>
      <c r="BT5" s="128">
        <v>1856913.915</v>
      </c>
      <c r="BU5" s="128">
        <v>1856913.915</v>
      </c>
      <c r="BV5" s="128">
        <v>5581155.5099999998</v>
      </c>
      <c r="BW5" s="128">
        <v>4000980.69</v>
      </c>
      <c r="BX5" s="128">
        <v>1580174.8199999998</v>
      </c>
      <c r="BY5" s="128">
        <v>178081138.78999999</v>
      </c>
      <c r="BZ5" s="128">
        <v>178081138.78999999</v>
      </c>
      <c r="CA5" s="124" t="s">
        <v>574</v>
      </c>
      <c r="CB5" s="124" t="s">
        <v>568</v>
      </c>
      <c r="CC5" s="125">
        <v>1</v>
      </c>
      <c r="CD5" s="125">
        <v>0</v>
      </c>
      <c r="CE5" s="128">
        <v>647401.18000000005</v>
      </c>
      <c r="CF5" s="128">
        <v>28165835.539999999</v>
      </c>
      <c r="CG5" s="127">
        <v>1</v>
      </c>
      <c r="CH5" s="127">
        <v>0.97753111924594638</v>
      </c>
      <c r="CI5" s="127">
        <v>0</v>
      </c>
      <c r="CJ5" s="127">
        <v>0</v>
      </c>
      <c r="CK5" s="127">
        <v>2.2468880754053656E-2</v>
      </c>
      <c r="CL5" s="127">
        <v>0</v>
      </c>
      <c r="CM5" s="127">
        <v>0</v>
      </c>
      <c r="CN5" s="127">
        <v>0</v>
      </c>
      <c r="CO5" s="127" t="s">
        <v>568</v>
      </c>
      <c r="CP5" s="127" t="s">
        <v>568</v>
      </c>
      <c r="CQ5" s="127" t="s">
        <v>568</v>
      </c>
      <c r="CR5" s="127" t="s">
        <v>568</v>
      </c>
      <c r="CS5" s="127" t="s">
        <v>568</v>
      </c>
      <c r="CT5" s="116" t="s">
        <v>568</v>
      </c>
      <c r="CU5" s="117" t="s">
        <v>568</v>
      </c>
      <c r="CV5" s="129" t="s">
        <v>577</v>
      </c>
      <c r="CW5" s="126">
        <v>0</v>
      </c>
      <c r="CX5" s="127">
        <v>0</v>
      </c>
      <c r="CY5" s="116" t="s">
        <v>568</v>
      </c>
      <c r="CZ5" s="116" t="s">
        <v>568</v>
      </c>
      <c r="DA5" s="127">
        <v>0.995</v>
      </c>
      <c r="DB5" s="127">
        <v>0.99657417548983818</v>
      </c>
      <c r="DC5" s="19" t="s">
        <v>576</v>
      </c>
      <c r="DD5" s="126">
        <v>9</v>
      </c>
      <c r="DE5" s="126">
        <v>29</v>
      </c>
      <c r="DF5" s="126" t="s">
        <v>568</v>
      </c>
      <c r="DG5" s="126">
        <v>0</v>
      </c>
      <c r="DH5" s="126">
        <v>0</v>
      </c>
      <c r="DI5" s="126">
        <v>31</v>
      </c>
      <c r="DJ5" s="126">
        <v>7</v>
      </c>
      <c r="DK5" s="126">
        <v>19</v>
      </c>
      <c r="DL5" s="126">
        <v>19</v>
      </c>
      <c r="DM5" s="127" t="s">
        <v>568</v>
      </c>
      <c r="DN5" s="127">
        <v>0.473931108064164</v>
      </c>
      <c r="DO5" s="127">
        <v>0.76763398879755196</v>
      </c>
      <c r="DP5" s="130" t="s">
        <v>568</v>
      </c>
      <c r="DQ5" s="130">
        <v>38</v>
      </c>
      <c r="DR5" s="127">
        <v>0.60757863324246497</v>
      </c>
      <c r="DS5" s="127">
        <v>0.361891268204177</v>
      </c>
      <c r="DT5" s="127">
        <v>0.68683052394455801</v>
      </c>
      <c r="DU5" s="127">
        <v>0.56773391706263399</v>
      </c>
    </row>
    <row r="6" spans="1:125" ht="15" customHeight="1" x14ac:dyDescent="0.25">
      <c r="A6" s="112"/>
      <c r="B6" s="113"/>
      <c r="C6" s="113"/>
      <c r="D6" s="113"/>
      <c r="E6" s="132"/>
      <c r="F6" s="132"/>
      <c r="G6" s="132"/>
      <c r="H6" s="132"/>
      <c r="I6" s="132"/>
      <c r="J6" s="132"/>
      <c r="K6" s="132"/>
      <c r="L6" s="132"/>
      <c r="M6" s="132"/>
      <c r="N6" s="132"/>
      <c r="O6" s="132"/>
      <c r="P6" s="133"/>
      <c r="Q6" s="134"/>
      <c r="R6" s="134"/>
      <c r="S6" s="134"/>
      <c r="T6" s="133"/>
      <c r="U6" s="133"/>
      <c r="V6" s="114"/>
      <c r="W6" s="133"/>
      <c r="X6" s="135"/>
      <c r="Y6" s="134"/>
      <c r="Z6" s="133"/>
      <c r="AA6" s="133"/>
      <c r="AB6" s="136"/>
      <c r="AC6" s="133"/>
      <c r="AD6" s="136"/>
      <c r="AE6" s="114"/>
      <c r="AF6" s="136"/>
      <c r="AG6" s="133"/>
      <c r="AH6" s="136"/>
      <c r="AI6" s="133"/>
      <c r="AJ6" s="136"/>
      <c r="AK6" s="133"/>
      <c r="AL6" s="136"/>
      <c r="AM6" s="133"/>
      <c r="AN6" s="133"/>
      <c r="AO6" s="136"/>
      <c r="AP6" s="134"/>
      <c r="AQ6" s="133"/>
      <c r="AR6" s="133"/>
      <c r="AS6" s="134"/>
      <c r="AT6" s="114"/>
      <c r="AU6" s="132"/>
      <c r="AV6" s="132"/>
      <c r="AW6" s="132"/>
      <c r="AX6" s="132"/>
      <c r="AY6" s="132"/>
      <c r="AZ6" s="133"/>
      <c r="BA6" s="133"/>
      <c r="BB6" s="133"/>
      <c r="BC6" s="132"/>
      <c r="BD6" s="134"/>
      <c r="BE6" s="114"/>
      <c r="BF6" s="114"/>
      <c r="BG6" s="114"/>
      <c r="BH6" s="114"/>
      <c r="BI6" s="114"/>
      <c r="BJ6" s="114"/>
      <c r="BK6" s="133"/>
      <c r="BL6" s="133"/>
      <c r="BM6" s="133"/>
      <c r="BN6" s="133"/>
      <c r="BO6" s="133"/>
      <c r="BP6" s="114"/>
      <c r="BQ6" s="114"/>
      <c r="BR6" s="114"/>
      <c r="BS6" s="114"/>
      <c r="BT6" s="132"/>
      <c r="BU6" s="132"/>
      <c r="BV6" s="132"/>
      <c r="BW6" s="132"/>
      <c r="BX6" s="132"/>
      <c r="BY6" s="132"/>
      <c r="BZ6" s="132"/>
      <c r="CA6" s="133"/>
      <c r="CB6" s="133"/>
      <c r="CC6" s="114"/>
      <c r="CD6" s="114"/>
      <c r="CE6" s="132"/>
      <c r="CF6" s="132"/>
      <c r="CG6" s="114"/>
      <c r="CH6" s="114"/>
      <c r="CI6" s="114"/>
      <c r="CJ6" s="114"/>
      <c r="CK6" s="114"/>
      <c r="CL6" s="114"/>
      <c r="CM6" s="114"/>
      <c r="CN6" s="132"/>
      <c r="CO6" s="114"/>
      <c r="CP6" s="114"/>
      <c r="CQ6" s="114"/>
      <c r="CR6" s="114"/>
      <c r="CS6" s="114"/>
      <c r="CT6" s="132"/>
      <c r="CU6" s="133"/>
      <c r="CV6" s="133"/>
      <c r="CW6" s="134"/>
      <c r="CX6" s="114"/>
      <c r="CY6" s="132"/>
      <c r="CZ6" s="132"/>
      <c r="DA6" s="114"/>
      <c r="DB6" s="114"/>
      <c r="DC6" s="133"/>
      <c r="DD6" s="134"/>
      <c r="DE6" s="134"/>
      <c r="DF6" s="134"/>
      <c r="DG6" s="134"/>
      <c r="DH6" s="134"/>
      <c r="DI6" s="134"/>
      <c r="DJ6" s="134"/>
      <c r="DK6" s="134"/>
      <c r="DL6" s="134"/>
      <c r="DM6" s="114"/>
      <c r="DN6" s="114"/>
      <c r="DO6" s="114"/>
      <c r="DP6" s="134"/>
      <c r="DQ6" s="134"/>
      <c r="DR6" s="114"/>
      <c r="DS6" s="114"/>
      <c r="DT6" s="114"/>
      <c r="DU6" s="114"/>
    </row>
  </sheetData>
  <autoFilter ref="A1:DU4" xr:uid="{EBF03E9D-E02D-4BF4-9670-FD9AFB8AC854}"/>
  <sortState xmlns:xlrd2="http://schemas.microsoft.com/office/spreadsheetml/2017/richdata2" ref="A1:DU4">
    <sortCondition descending="1" ref="A1"/>
  </sortState>
  <hyperlinks>
    <hyperlink ref="CV2" r:id="rId1" xr:uid="{39EA58ED-1AC2-49BA-B222-1DE6D4D19852}"/>
    <hyperlink ref="CV3" r:id="rId2" xr:uid="{4C0DD543-B678-4B79-B76A-4A2993935D3D}"/>
    <hyperlink ref="CV4" r:id="rId3" xr:uid="{B8EF9779-B4EF-4FAE-BDC7-A83BDFC05741}"/>
    <hyperlink ref="AM2" r:id="rId4" xr:uid="{7DE8A433-2E95-4363-AA1B-32361A605E57}"/>
    <hyperlink ref="AM3" r:id="rId5" xr:uid="{215187EE-14AA-41A6-B544-1636521E2658}"/>
    <hyperlink ref="AM4" r:id="rId6" xr:uid="{B857020A-9524-4332-9F29-02DF3009C598}"/>
    <hyperlink ref="Z2" r:id="rId7" xr:uid="{241F2B5F-C955-43A9-8088-48C1A6B2B13D}"/>
    <hyperlink ref="Z3" r:id="rId8" xr:uid="{93DBFC10-27F2-4D04-AF9E-088290E06BC7}"/>
    <hyperlink ref="Z4" r:id="rId9" xr:uid="{D7AD682B-45D3-4EE4-949A-EBE722B1D4A8}"/>
    <hyperlink ref="CV5" r:id="rId10" xr:uid="{F9FEC022-EDA5-4E88-A2D0-2B44D431DA48}"/>
    <hyperlink ref="AM5" r:id="rId11" xr:uid="{9AD90903-0DE9-46E9-8041-95C016F2DFD6}"/>
    <hyperlink ref="Z5" r:id="rId12" xr:uid="{9E548278-C5C6-4786-9B0B-31835C4C742A}"/>
    <hyperlink ref="T5" r:id="rId13" xr:uid="{ED75173C-D8F2-45CA-B075-7C7A11561461}"/>
    <hyperlink ref="U5" r:id="rId14" xr:uid="{0DBE1FB6-05F1-4BF9-B9D6-DD41B888A6B1}"/>
    <hyperlink ref="U2" r:id="rId15" xr:uid="{2BAC7F7F-71E1-46DB-8813-95B50BB56EBE}"/>
    <hyperlink ref="U3" r:id="rId16" xr:uid="{7DE21E53-350B-445A-A47D-A8DE46B5E537}"/>
    <hyperlink ref="U4" r:id="rId17" xr:uid="{97CF5797-3613-4576-A4CF-971F4261F0E3}"/>
    <hyperlink ref="T4" r:id="rId18" xr:uid="{1DE69195-7505-4379-8567-7EFA83E4E6FC}"/>
    <hyperlink ref="T3" r:id="rId19" xr:uid="{9E4BD10F-6DDE-4439-82BA-3B0B4C35148C}"/>
    <hyperlink ref="T2" r:id="rId20" xr:uid="{DB8C177D-EDB5-446C-A135-CC7ED148A941}"/>
  </hyperlinks>
  <pageMargins left="0.7" right="0.7" top="0.75" bottom="0.75" header="0.3" footer="0.3"/>
  <pageSetup paperSize="9" orientation="portrait"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9"/>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20" width="21.7109375" style="4"/>
  </cols>
  <sheetData>
    <row r="1" spans="1:20" s="16" customFormat="1" ht="15" customHeight="1" x14ac:dyDescent="0.25">
      <c r="A1" s="10" t="s">
        <v>0</v>
      </c>
      <c r="B1" s="11" t="s">
        <v>1</v>
      </c>
      <c r="C1" s="11" t="s">
        <v>2</v>
      </c>
      <c r="D1" s="11" t="s">
        <v>559</v>
      </c>
      <c r="E1" s="11" t="s">
        <v>3</v>
      </c>
      <c r="F1" s="12" t="s">
        <v>44</v>
      </c>
      <c r="G1" s="12" t="s">
        <v>48</v>
      </c>
      <c r="H1" s="12" t="s">
        <v>50</v>
      </c>
      <c r="I1" s="12" t="s">
        <v>52</v>
      </c>
      <c r="J1" s="12" t="s">
        <v>54</v>
      </c>
      <c r="K1" s="12" t="s">
        <v>56</v>
      </c>
      <c r="L1" s="12" t="s">
        <v>58</v>
      </c>
      <c r="M1" s="12" t="s">
        <v>60</v>
      </c>
      <c r="N1" s="12" t="s">
        <v>62</v>
      </c>
      <c r="O1" s="12" t="s">
        <v>64</v>
      </c>
      <c r="P1" s="12" t="s">
        <v>66</v>
      </c>
      <c r="Q1" s="12" t="s">
        <v>68</v>
      </c>
      <c r="R1" s="12" t="s">
        <v>70</v>
      </c>
      <c r="S1" s="12" t="s">
        <v>72</v>
      </c>
      <c r="T1" s="12" t="s">
        <v>75</v>
      </c>
    </row>
    <row r="2" spans="1:20" ht="15" customHeight="1" x14ac:dyDescent="0.25">
      <c r="A2" s="1">
        <v>45016</v>
      </c>
      <c r="B2" s="98" t="s">
        <v>530</v>
      </c>
      <c r="C2" s="98" t="s">
        <v>578</v>
      </c>
      <c r="D2" s="98" t="s">
        <v>526</v>
      </c>
      <c r="E2" s="98" t="s">
        <v>560</v>
      </c>
      <c r="F2" s="102">
        <v>22361370.59</v>
      </c>
      <c r="G2" s="100">
        <v>0</v>
      </c>
      <c r="H2" s="100">
        <v>0</v>
      </c>
      <c r="I2" s="100">
        <v>0</v>
      </c>
      <c r="J2" s="100">
        <v>0</v>
      </c>
      <c r="K2" s="100">
        <v>0</v>
      </c>
      <c r="L2" s="100">
        <v>0</v>
      </c>
      <c r="M2" s="100">
        <v>0</v>
      </c>
      <c r="N2" s="100">
        <v>0</v>
      </c>
      <c r="O2" s="97">
        <v>0</v>
      </c>
      <c r="P2" s="97">
        <v>0</v>
      </c>
      <c r="Q2" s="97">
        <v>0</v>
      </c>
      <c r="R2" s="97">
        <v>0</v>
      </c>
      <c r="S2" s="97">
        <v>0</v>
      </c>
      <c r="T2" s="97">
        <v>22361370.59</v>
      </c>
    </row>
    <row r="3" spans="1:20" ht="15" customHeight="1" x14ac:dyDescent="0.25">
      <c r="A3" s="1">
        <v>45016</v>
      </c>
      <c r="B3" s="98" t="s">
        <v>530</v>
      </c>
      <c r="C3" s="98" t="s">
        <v>578</v>
      </c>
      <c r="D3" s="98" t="s">
        <v>527</v>
      </c>
      <c r="E3" s="98" t="s">
        <v>560</v>
      </c>
      <c r="F3" s="102">
        <v>22361370.59</v>
      </c>
      <c r="G3" s="100">
        <v>0</v>
      </c>
      <c r="H3" s="100">
        <v>0</v>
      </c>
      <c r="I3" s="100">
        <v>0</v>
      </c>
      <c r="J3" s="100">
        <v>0</v>
      </c>
      <c r="K3" s="100">
        <v>0</v>
      </c>
      <c r="L3" s="100">
        <v>0</v>
      </c>
      <c r="M3" s="100">
        <v>0</v>
      </c>
      <c r="N3" s="100">
        <v>0</v>
      </c>
      <c r="O3" s="97">
        <v>0</v>
      </c>
      <c r="P3" s="97">
        <v>0</v>
      </c>
      <c r="Q3" s="97">
        <v>0</v>
      </c>
      <c r="R3" s="97">
        <v>0</v>
      </c>
      <c r="S3" s="97">
        <v>0</v>
      </c>
      <c r="T3" s="97">
        <v>22361370.59</v>
      </c>
    </row>
    <row r="4" spans="1:20" ht="15" customHeight="1" x14ac:dyDescent="0.25">
      <c r="A4" s="1">
        <v>45107</v>
      </c>
      <c r="B4" s="98" t="s">
        <v>530</v>
      </c>
      <c r="C4" s="98" t="s">
        <v>578</v>
      </c>
      <c r="D4" s="98" t="s">
        <v>526</v>
      </c>
      <c r="E4" s="98" t="s">
        <v>560</v>
      </c>
      <c r="F4" s="102">
        <v>22336638.97544625</v>
      </c>
      <c r="G4" s="100">
        <v>0</v>
      </c>
      <c r="H4" s="100">
        <v>0</v>
      </c>
      <c r="I4" s="100">
        <v>0</v>
      </c>
      <c r="J4" s="100">
        <v>0</v>
      </c>
      <c r="K4" s="100">
        <v>0</v>
      </c>
      <c r="L4" s="100">
        <v>0</v>
      </c>
      <c r="M4" s="100">
        <v>0</v>
      </c>
      <c r="N4" s="100">
        <v>0</v>
      </c>
      <c r="O4" s="97">
        <v>0</v>
      </c>
      <c r="P4" s="97">
        <v>0</v>
      </c>
      <c r="Q4" s="97">
        <v>0</v>
      </c>
      <c r="R4" s="97">
        <v>0</v>
      </c>
      <c r="S4" s="97">
        <v>0</v>
      </c>
      <c r="T4" s="97">
        <v>22336638.97544625</v>
      </c>
    </row>
    <row r="5" spans="1:20" ht="15" customHeight="1" x14ac:dyDescent="0.25">
      <c r="A5" s="1">
        <v>45107</v>
      </c>
      <c r="B5" s="98" t="s">
        <v>530</v>
      </c>
      <c r="C5" s="98" t="s">
        <v>578</v>
      </c>
      <c r="D5" s="98" t="s">
        <v>527</v>
      </c>
      <c r="E5" s="98" t="s">
        <v>560</v>
      </c>
      <c r="F5" s="102">
        <v>22336638.97544625</v>
      </c>
      <c r="G5" s="100">
        <v>0</v>
      </c>
      <c r="H5" s="100">
        <v>0</v>
      </c>
      <c r="I5" s="100">
        <v>0</v>
      </c>
      <c r="J5" s="100">
        <v>0</v>
      </c>
      <c r="K5" s="100">
        <v>0</v>
      </c>
      <c r="L5" s="100">
        <v>0</v>
      </c>
      <c r="M5" s="100">
        <v>0</v>
      </c>
      <c r="N5" s="100">
        <v>0</v>
      </c>
      <c r="O5" s="97">
        <v>0</v>
      </c>
      <c r="P5" s="97">
        <v>0</v>
      </c>
      <c r="Q5" s="97">
        <v>0</v>
      </c>
      <c r="R5" s="97">
        <v>0</v>
      </c>
      <c r="S5" s="97">
        <v>0</v>
      </c>
      <c r="T5" s="97">
        <v>22336638.97544625</v>
      </c>
    </row>
    <row r="6" spans="1:20" ht="15" customHeight="1" x14ac:dyDescent="0.25">
      <c r="A6" s="1">
        <v>45199</v>
      </c>
      <c r="B6" s="98" t="s">
        <v>530</v>
      </c>
      <c r="C6" s="98" t="s">
        <v>578</v>
      </c>
      <c r="D6" s="98" t="s">
        <v>526</v>
      </c>
      <c r="E6" s="98" t="s">
        <v>560</v>
      </c>
      <c r="F6" s="102">
        <v>24639242.690000001</v>
      </c>
      <c r="G6" s="100">
        <v>0</v>
      </c>
      <c r="H6" s="100">
        <v>0</v>
      </c>
      <c r="I6" s="100">
        <v>0</v>
      </c>
      <c r="J6" s="100">
        <v>0</v>
      </c>
      <c r="K6" s="100">
        <v>0</v>
      </c>
      <c r="L6" s="100">
        <v>0</v>
      </c>
      <c r="M6" s="100">
        <v>0</v>
      </c>
      <c r="N6" s="100">
        <v>0</v>
      </c>
      <c r="O6" s="97">
        <v>0</v>
      </c>
      <c r="P6" s="97">
        <v>0</v>
      </c>
      <c r="Q6" s="97">
        <v>0</v>
      </c>
      <c r="R6" s="97">
        <v>0</v>
      </c>
      <c r="S6" s="97">
        <v>0</v>
      </c>
      <c r="T6" s="97">
        <v>24639242.690000001</v>
      </c>
    </row>
    <row r="7" spans="1:20" ht="15" customHeight="1" x14ac:dyDescent="0.25">
      <c r="A7" s="1">
        <v>45199</v>
      </c>
      <c r="B7" s="98" t="s">
        <v>530</v>
      </c>
      <c r="C7" s="98" t="s">
        <v>578</v>
      </c>
      <c r="D7" s="98" t="s">
        <v>527</v>
      </c>
      <c r="E7" s="98" t="s">
        <v>560</v>
      </c>
      <c r="F7" s="102">
        <v>24639242.690000001</v>
      </c>
      <c r="G7" s="100">
        <v>0</v>
      </c>
      <c r="H7" s="100">
        <v>0</v>
      </c>
      <c r="I7" s="100">
        <v>0</v>
      </c>
      <c r="J7" s="100">
        <v>0</v>
      </c>
      <c r="K7" s="100">
        <v>0</v>
      </c>
      <c r="L7" s="100">
        <v>0</v>
      </c>
      <c r="M7" s="100">
        <v>0</v>
      </c>
      <c r="N7" s="100">
        <v>0</v>
      </c>
      <c r="O7" s="97">
        <v>0</v>
      </c>
      <c r="P7" s="97">
        <v>0</v>
      </c>
      <c r="Q7" s="97">
        <v>0</v>
      </c>
      <c r="R7" s="97">
        <v>0</v>
      </c>
      <c r="S7" s="97">
        <v>0</v>
      </c>
      <c r="T7" s="97">
        <v>24639242.690000001</v>
      </c>
    </row>
    <row r="8" spans="1:20" ht="15" customHeight="1" x14ac:dyDescent="0.25">
      <c r="A8" s="1">
        <v>45291</v>
      </c>
      <c r="B8" s="98" t="s">
        <v>530</v>
      </c>
      <c r="C8" s="98" t="s">
        <v>578</v>
      </c>
      <c r="D8" s="98" t="s">
        <v>526</v>
      </c>
      <c r="E8" s="98" t="s">
        <v>560</v>
      </c>
      <c r="F8" s="102">
        <v>24929390.620000001</v>
      </c>
      <c r="G8" s="100">
        <v>0</v>
      </c>
      <c r="H8" s="100">
        <v>0</v>
      </c>
      <c r="I8" s="100">
        <v>0</v>
      </c>
      <c r="J8" s="100">
        <v>0</v>
      </c>
      <c r="K8" s="100">
        <v>0</v>
      </c>
      <c r="L8" s="100">
        <v>0</v>
      </c>
      <c r="M8" s="100">
        <v>0</v>
      </c>
      <c r="N8" s="100">
        <v>0</v>
      </c>
      <c r="O8" s="97">
        <v>0</v>
      </c>
      <c r="P8" s="97">
        <v>0</v>
      </c>
      <c r="Q8" s="97">
        <v>0</v>
      </c>
      <c r="R8" s="97">
        <v>0</v>
      </c>
      <c r="S8" s="97">
        <v>0</v>
      </c>
      <c r="T8" s="97">
        <v>24929390.620000001</v>
      </c>
    </row>
    <row r="9" spans="1:20" ht="15" customHeight="1" x14ac:dyDescent="0.25">
      <c r="A9" s="1">
        <v>45291</v>
      </c>
      <c r="B9" s="98" t="s">
        <v>530</v>
      </c>
      <c r="C9" s="98" t="s">
        <v>578</v>
      </c>
      <c r="D9" s="98" t="s">
        <v>527</v>
      </c>
      <c r="E9" s="98" t="s">
        <v>560</v>
      </c>
      <c r="F9" s="102">
        <v>24929390.620000001</v>
      </c>
      <c r="G9" s="100">
        <v>0</v>
      </c>
      <c r="H9" s="100">
        <v>0</v>
      </c>
      <c r="I9" s="100">
        <v>0</v>
      </c>
      <c r="J9" s="100">
        <v>0</v>
      </c>
      <c r="K9" s="100">
        <v>0</v>
      </c>
      <c r="L9" s="100">
        <v>0</v>
      </c>
      <c r="M9" s="100">
        <v>0</v>
      </c>
      <c r="N9" s="100">
        <v>0</v>
      </c>
      <c r="O9" s="97">
        <v>0</v>
      </c>
      <c r="P9" s="97">
        <v>0</v>
      </c>
      <c r="Q9" s="97">
        <v>0</v>
      </c>
      <c r="R9" s="97">
        <v>0</v>
      </c>
      <c r="S9" s="97">
        <v>0</v>
      </c>
      <c r="T9" s="97">
        <v>24929390.620000001</v>
      </c>
    </row>
  </sheetData>
  <autoFilter ref="A1:T5" xr:uid="{B5CE3A04-E427-4676-AB7D-5E32DA1295CB}"/>
  <sortState xmlns:xlrd2="http://schemas.microsoft.com/office/spreadsheetml/2017/richdata2" ref="A1:T5">
    <sortCondition descending="1" ref="A1"/>
  </sortState>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9"/>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4" max="4" width="34.5703125" bestFit="1" customWidth="1"/>
    <col min="6" max="9" width="21.7109375" style="4"/>
  </cols>
  <sheetData>
    <row r="1" spans="1:9" s="16" customFormat="1" ht="15" customHeight="1" x14ac:dyDescent="0.25">
      <c r="A1" s="10" t="s">
        <v>0</v>
      </c>
      <c r="B1" s="11" t="s">
        <v>1</v>
      </c>
      <c r="C1" s="11" t="s">
        <v>2</v>
      </c>
      <c r="D1" s="11" t="s">
        <v>559</v>
      </c>
      <c r="E1" s="11" t="s">
        <v>3</v>
      </c>
      <c r="F1" s="12" t="s">
        <v>81</v>
      </c>
      <c r="G1" s="12" t="s">
        <v>93</v>
      </c>
      <c r="H1" s="12" t="s">
        <v>95</v>
      </c>
      <c r="I1" s="12" t="s">
        <v>102</v>
      </c>
    </row>
    <row r="2" spans="1:9" ht="15" customHeight="1" x14ac:dyDescent="0.25">
      <c r="A2" s="1">
        <v>45016</v>
      </c>
      <c r="B2" s="98" t="s">
        <v>530</v>
      </c>
      <c r="C2" s="98" t="s">
        <v>578</v>
      </c>
      <c r="D2" s="98" t="s">
        <v>561</v>
      </c>
      <c r="E2" s="98" t="s">
        <v>560</v>
      </c>
      <c r="F2" s="97">
        <v>17154175.699999999</v>
      </c>
      <c r="G2" s="97">
        <v>0</v>
      </c>
      <c r="H2" s="97">
        <v>21769033.329999998</v>
      </c>
      <c r="I2" s="97">
        <v>0</v>
      </c>
    </row>
    <row r="3" spans="1:9" ht="15" customHeight="1" x14ac:dyDescent="0.25">
      <c r="A3" s="1">
        <v>45016</v>
      </c>
      <c r="B3" s="98" t="s">
        <v>530</v>
      </c>
      <c r="C3" s="98" t="s">
        <v>578</v>
      </c>
      <c r="D3" s="98" t="s">
        <v>528</v>
      </c>
      <c r="E3" s="98" t="s">
        <v>560</v>
      </c>
      <c r="F3" s="97">
        <v>7560475.8166666673</v>
      </c>
      <c r="G3" s="97">
        <v>0</v>
      </c>
      <c r="H3" s="97">
        <v>12405008.451666668</v>
      </c>
      <c r="I3" s="97">
        <v>0</v>
      </c>
    </row>
    <row r="4" spans="1:9" ht="15" customHeight="1" x14ac:dyDescent="0.25">
      <c r="A4" s="1">
        <v>45107</v>
      </c>
      <c r="B4" s="98" t="s">
        <v>530</v>
      </c>
      <c r="C4" s="98" t="s">
        <v>578</v>
      </c>
      <c r="D4" s="98" t="s">
        <v>561</v>
      </c>
      <c r="E4" s="98" t="s">
        <v>560</v>
      </c>
      <c r="F4" s="97">
        <v>12418136.960000001</v>
      </c>
      <c r="G4" s="97">
        <v>0</v>
      </c>
      <c r="H4" s="97">
        <v>20191439.789999999</v>
      </c>
      <c r="I4" s="97">
        <v>0</v>
      </c>
    </row>
    <row r="5" spans="1:9" ht="15" customHeight="1" x14ac:dyDescent="0.25">
      <c r="A5" s="1">
        <v>45107</v>
      </c>
      <c r="B5" s="98" t="s">
        <v>530</v>
      </c>
      <c r="C5" s="98" t="s">
        <v>578</v>
      </c>
      <c r="D5" s="98" t="s">
        <v>528</v>
      </c>
      <c r="E5" s="98" t="s">
        <v>560</v>
      </c>
      <c r="F5" s="97">
        <v>6237644.9566666679</v>
      </c>
      <c r="G5" s="97">
        <v>0</v>
      </c>
      <c r="H5" s="97">
        <v>10667280.620833334</v>
      </c>
      <c r="I5" s="97">
        <v>0</v>
      </c>
    </row>
    <row r="6" spans="1:9" ht="15" customHeight="1" x14ac:dyDescent="0.25">
      <c r="A6" s="1">
        <v>45199</v>
      </c>
      <c r="B6" s="98" t="s">
        <v>530</v>
      </c>
      <c r="C6" s="98" t="s">
        <v>578</v>
      </c>
      <c r="D6" s="98" t="s">
        <v>561</v>
      </c>
      <c r="E6" s="98" t="s">
        <v>560</v>
      </c>
      <c r="F6" s="97">
        <v>9662937.7100000009</v>
      </c>
      <c r="G6" s="97">
        <v>0</v>
      </c>
      <c r="H6" s="97">
        <v>17524424.640000001</v>
      </c>
      <c r="I6" s="97">
        <v>0</v>
      </c>
    </row>
    <row r="7" spans="1:9" ht="15" customHeight="1" x14ac:dyDescent="0.25">
      <c r="A7" s="1">
        <v>45199</v>
      </c>
      <c r="B7" s="98" t="s">
        <v>530</v>
      </c>
      <c r="C7" s="98" t="s">
        <v>578</v>
      </c>
      <c r="D7" s="98" t="s">
        <v>528</v>
      </c>
      <c r="E7" s="98" t="s">
        <v>560</v>
      </c>
      <c r="F7" s="97">
        <v>5673561.3174999999</v>
      </c>
      <c r="G7" s="97">
        <v>0</v>
      </c>
      <c r="H7" s="97">
        <v>9997376.3899999987</v>
      </c>
      <c r="I7" s="97">
        <v>0</v>
      </c>
    </row>
    <row r="8" spans="1:9" ht="15" customHeight="1" x14ac:dyDescent="0.25">
      <c r="A8" s="1">
        <v>45291</v>
      </c>
      <c r="B8" s="98" t="s">
        <v>530</v>
      </c>
      <c r="C8" s="98" t="s">
        <v>578</v>
      </c>
      <c r="D8" s="98" t="s">
        <v>561</v>
      </c>
      <c r="E8" s="98" t="s">
        <v>560</v>
      </c>
      <c r="F8" s="97">
        <v>9662937.7100000009</v>
      </c>
      <c r="G8" s="97">
        <v>0</v>
      </c>
      <c r="H8" s="97">
        <v>17524424.640000001</v>
      </c>
      <c r="I8" s="97">
        <v>0</v>
      </c>
    </row>
    <row r="9" spans="1:9" ht="15" customHeight="1" x14ac:dyDescent="0.25">
      <c r="A9" s="1">
        <v>45291</v>
      </c>
      <c r="B9" s="98" t="s">
        <v>530</v>
      </c>
      <c r="C9" s="98" t="s">
        <v>578</v>
      </c>
      <c r="D9" s="98" t="s">
        <v>528</v>
      </c>
      <c r="E9" s="98" t="s">
        <v>560</v>
      </c>
      <c r="F9" s="97">
        <v>5967383.5541666662</v>
      </c>
      <c r="G9" s="97">
        <v>0</v>
      </c>
      <c r="H9" s="97">
        <v>10491279.978333334</v>
      </c>
      <c r="I9" s="97">
        <v>0</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7" width="21.7109375" style="4"/>
  </cols>
  <sheetData>
    <row r="1" spans="1:7" s="16" customFormat="1" ht="15" customHeight="1" x14ac:dyDescent="0.25">
      <c r="A1" s="10" t="s">
        <v>0</v>
      </c>
      <c r="B1" s="11" t="s">
        <v>1</v>
      </c>
      <c r="C1" s="11" t="s">
        <v>2</v>
      </c>
      <c r="D1" s="11" t="s">
        <v>559</v>
      </c>
      <c r="E1" s="11" t="s">
        <v>3</v>
      </c>
      <c r="F1" s="12" t="s">
        <v>89</v>
      </c>
      <c r="G1" s="12" t="s">
        <v>99</v>
      </c>
    </row>
    <row r="2" spans="1:7" ht="15" customHeight="1" x14ac:dyDescent="0.25">
      <c r="A2" s="1">
        <v>45016</v>
      </c>
      <c r="B2" s="98" t="s">
        <v>530</v>
      </c>
      <c r="C2" s="98" t="s">
        <v>578</v>
      </c>
      <c r="D2" s="98" t="s">
        <v>101</v>
      </c>
      <c r="E2" s="98" t="s">
        <v>560</v>
      </c>
      <c r="F2" s="100">
        <v>0</v>
      </c>
      <c r="G2" s="97">
        <v>0</v>
      </c>
    </row>
    <row r="3" spans="1:7" ht="15" customHeight="1" x14ac:dyDescent="0.25">
      <c r="A3" s="1">
        <v>45107</v>
      </c>
      <c r="B3" s="98" t="s">
        <v>530</v>
      </c>
      <c r="C3" s="98" t="s">
        <v>578</v>
      </c>
      <c r="D3" s="98" t="s">
        <v>101</v>
      </c>
      <c r="E3" s="98" t="s">
        <v>560</v>
      </c>
      <c r="F3" s="100">
        <v>0</v>
      </c>
      <c r="G3" s="97">
        <v>0</v>
      </c>
    </row>
    <row r="4" spans="1:7" ht="15" customHeight="1" x14ac:dyDescent="0.25">
      <c r="A4" s="1">
        <v>45199</v>
      </c>
      <c r="B4" s="98" t="s">
        <v>530</v>
      </c>
      <c r="C4" s="98" t="s">
        <v>578</v>
      </c>
      <c r="D4" s="98" t="s">
        <v>101</v>
      </c>
      <c r="E4" s="98" t="s">
        <v>560</v>
      </c>
      <c r="F4" s="100">
        <v>0</v>
      </c>
      <c r="G4" s="97">
        <v>0</v>
      </c>
    </row>
    <row r="5" spans="1:7" ht="15" customHeight="1" x14ac:dyDescent="0.25">
      <c r="A5" s="1">
        <v>45291</v>
      </c>
      <c r="B5" s="98" t="s">
        <v>530</v>
      </c>
      <c r="C5" s="98" t="s">
        <v>578</v>
      </c>
      <c r="D5" s="98" t="s">
        <v>101</v>
      </c>
      <c r="E5" s="98" t="s">
        <v>560</v>
      </c>
      <c r="F5" s="100">
        <v>0</v>
      </c>
      <c r="G5" s="97">
        <v>0</v>
      </c>
    </row>
    <row r="6" spans="1:7" ht="15" customHeight="1" x14ac:dyDescent="0.25">
      <c r="A6" s="1"/>
      <c r="B6" s="2"/>
      <c r="C6" s="2"/>
      <c r="D6" s="2"/>
      <c r="E6" s="2"/>
      <c r="F6" s="78"/>
      <c r="G6" s="77"/>
    </row>
  </sheetData>
  <autoFilter ref="A1:G2" xr:uid="{EC51250B-8F7A-4D84-8886-3330C5252149}"/>
  <sortState xmlns:xlrd2="http://schemas.microsoft.com/office/spreadsheetml/2017/richdata2" ref="A1:G2">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7"/>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6" width="21.7109375" style="4"/>
  </cols>
  <sheetData>
    <row r="1" spans="1:6" s="16" customFormat="1" ht="15" customHeight="1" x14ac:dyDescent="0.25">
      <c r="A1" s="10" t="s">
        <v>0</v>
      </c>
      <c r="B1" s="11" t="s">
        <v>1</v>
      </c>
      <c r="C1" s="11" t="s">
        <v>2</v>
      </c>
      <c r="D1" s="11" t="s">
        <v>559</v>
      </c>
      <c r="E1" s="11" t="s">
        <v>3</v>
      </c>
      <c r="F1" s="12" t="s">
        <v>122</v>
      </c>
    </row>
    <row r="2" spans="1:6" ht="15" customHeight="1" x14ac:dyDescent="0.25">
      <c r="A2" s="1">
        <v>45016</v>
      </c>
      <c r="B2" s="98" t="s">
        <v>530</v>
      </c>
      <c r="C2" s="98" t="s">
        <v>578</v>
      </c>
      <c r="D2" s="98" t="s">
        <v>535</v>
      </c>
      <c r="E2" s="98" t="s">
        <v>560</v>
      </c>
      <c r="F2" s="100">
        <v>6146508.9900000002</v>
      </c>
    </row>
    <row r="3" spans="1:6" ht="15" customHeight="1" x14ac:dyDescent="0.25">
      <c r="A3" s="1">
        <v>45016</v>
      </c>
      <c r="B3" s="98" t="s">
        <v>530</v>
      </c>
      <c r="C3" s="98" t="s">
        <v>578</v>
      </c>
      <c r="D3" s="98" t="s">
        <v>534</v>
      </c>
      <c r="E3" s="98" t="s">
        <v>560</v>
      </c>
      <c r="F3" s="100">
        <v>21995068.91</v>
      </c>
    </row>
    <row r="4" spans="1:6" ht="15" customHeight="1" x14ac:dyDescent="0.25">
      <c r="A4" s="1">
        <v>45016</v>
      </c>
      <c r="B4" s="98" t="s">
        <v>530</v>
      </c>
      <c r="C4" s="98" t="s">
        <v>578</v>
      </c>
      <c r="D4" s="98" t="s">
        <v>533</v>
      </c>
      <c r="E4" s="98" t="s">
        <v>560</v>
      </c>
      <c r="F4" s="100">
        <v>13846088.77</v>
      </c>
    </row>
    <row r="5" spans="1:6" ht="15" customHeight="1" x14ac:dyDescent="0.25">
      <c r="A5" s="1">
        <v>45016</v>
      </c>
      <c r="B5" s="98" t="s">
        <v>530</v>
      </c>
      <c r="C5" s="98" t="s">
        <v>578</v>
      </c>
      <c r="D5" s="98" t="s">
        <v>536</v>
      </c>
      <c r="E5" s="98" t="s">
        <v>560</v>
      </c>
      <c r="F5" s="100">
        <v>41987666.68</v>
      </c>
    </row>
    <row r="6" spans="1:6" ht="15" customHeight="1" x14ac:dyDescent="0.25">
      <c r="A6" s="1">
        <v>45107</v>
      </c>
      <c r="B6" s="98" t="s">
        <v>530</v>
      </c>
      <c r="C6" s="98" t="s">
        <v>578</v>
      </c>
      <c r="D6" s="98" t="s">
        <v>535</v>
      </c>
      <c r="E6" s="98" t="s">
        <v>560</v>
      </c>
      <c r="F6" s="100">
        <v>5126806.75</v>
      </c>
    </row>
    <row r="7" spans="1:6" ht="15" customHeight="1" x14ac:dyDescent="0.25">
      <c r="A7" s="1">
        <v>45107</v>
      </c>
      <c r="B7" s="98" t="s">
        <v>530</v>
      </c>
      <c r="C7" s="98" t="s">
        <v>578</v>
      </c>
      <c r="D7" s="98" t="s">
        <v>534</v>
      </c>
      <c r="E7" s="98" t="s">
        <v>560</v>
      </c>
      <c r="F7" s="100">
        <v>15894110.050000001</v>
      </c>
    </row>
    <row r="8" spans="1:6" ht="15" customHeight="1" x14ac:dyDescent="0.25">
      <c r="A8" s="1">
        <v>45107</v>
      </c>
      <c r="B8" s="98" t="s">
        <v>530</v>
      </c>
      <c r="C8" s="98" t="s">
        <v>578</v>
      </c>
      <c r="D8" s="98" t="s">
        <v>533</v>
      </c>
      <c r="E8" s="98" t="s">
        <v>560</v>
      </c>
      <c r="F8" s="100">
        <v>9119341.0500000007</v>
      </c>
    </row>
    <row r="9" spans="1:6" ht="15" customHeight="1" x14ac:dyDescent="0.25">
      <c r="A9" s="1">
        <v>45107</v>
      </c>
      <c r="B9" s="98" t="s">
        <v>530</v>
      </c>
      <c r="C9" s="98" t="s">
        <v>578</v>
      </c>
      <c r="D9" s="98" t="s">
        <v>536</v>
      </c>
      <c r="E9" s="98" t="s">
        <v>560</v>
      </c>
      <c r="F9" s="100">
        <v>30140257.84</v>
      </c>
    </row>
    <row r="10" spans="1:6" ht="15" customHeight="1" x14ac:dyDescent="0.25">
      <c r="A10" s="1">
        <v>45199</v>
      </c>
      <c r="B10" s="98" t="s">
        <v>530</v>
      </c>
      <c r="C10" s="98" t="s">
        <v>578</v>
      </c>
      <c r="D10" s="98" t="s">
        <v>535</v>
      </c>
      <c r="E10" s="98" t="s">
        <v>560</v>
      </c>
      <c r="F10" s="100">
        <v>4386658.07</v>
      </c>
    </row>
    <row r="11" spans="1:6" ht="15" customHeight="1" x14ac:dyDescent="0.25">
      <c r="A11" s="1">
        <v>45199</v>
      </c>
      <c r="B11" s="98" t="s">
        <v>530</v>
      </c>
      <c r="C11" s="98" t="s">
        <v>578</v>
      </c>
      <c r="D11" s="98" t="s">
        <v>534</v>
      </c>
      <c r="E11" s="98" t="s">
        <v>560</v>
      </c>
      <c r="F11" s="100">
        <v>16449780.93</v>
      </c>
    </row>
    <row r="12" spans="1:6" ht="15" customHeight="1" x14ac:dyDescent="0.25">
      <c r="A12" s="1">
        <v>45199</v>
      </c>
      <c r="B12" s="98" t="s">
        <v>530</v>
      </c>
      <c r="C12" s="98" t="s">
        <v>578</v>
      </c>
      <c r="D12" s="98" t="s">
        <v>533</v>
      </c>
      <c r="E12" s="98" t="s">
        <v>560</v>
      </c>
      <c r="F12" s="100">
        <v>8330664.2699999996</v>
      </c>
    </row>
    <row r="13" spans="1:6" ht="15" customHeight="1" x14ac:dyDescent="0.25">
      <c r="A13" s="1">
        <v>45199</v>
      </c>
      <c r="B13" s="98" t="s">
        <v>530</v>
      </c>
      <c r="C13" s="98" t="s">
        <v>578</v>
      </c>
      <c r="D13" s="98" t="s">
        <v>536</v>
      </c>
      <c r="E13" s="98" t="s">
        <v>560</v>
      </c>
      <c r="F13" s="100">
        <v>29167103.27</v>
      </c>
    </row>
    <row r="14" spans="1:6" ht="15" customHeight="1" x14ac:dyDescent="0.25">
      <c r="A14" s="1">
        <v>45291</v>
      </c>
      <c r="B14" s="98" t="s">
        <v>530</v>
      </c>
      <c r="C14" s="98" t="s">
        <v>578</v>
      </c>
      <c r="D14" s="98" t="s">
        <v>535</v>
      </c>
      <c r="E14" s="98" t="s">
        <v>560</v>
      </c>
      <c r="F14" s="100">
        <v>4809368.84</v>
      </c>
    </row>
    <row r="15" spans="1:6" ht="15" customHeight="1" x14ac:dyDescent="0.25">
      <c r="A15" s="1">
        <v>45291</v>
      </c>
      <c r="B15" s="98" t="s">
        <v>530</v>
      </c>
      <c r="C15" s="98" t="s">
        <v>578</v>
      </c>
      <c r="D15" s="98" t="s">
        <v>534</v>
      </c>
      <c r="E15" s="98" t="s">
        <v>560</v>
      </c>
      <c r="F15" s="100">
        <v>20952364.460000001</v>
      </c>
    </row>
    <row r="16" spans="1:6" ht="15" customHeight="1" x14ac:dyDescent="0.25">
      <c r="A16" s="1">
        <v>45291</v>
      </c>
      <c r="B16" s="98" t="s">
        <v>530</v>
      </c>
      <c r="C16" s="98" t="s">
        <v>578</v>
      </c>
      <c r="D16" s="98" t="s">
        <v>533</v>
      </c>
      <c r="E16" s="98" t="s">
        <v>560</v>
      </c>
      <c r="F16" s="100">
        <v>12326793.42</v>
      </c>
    </row>
    <row r="17" spans="1:6" ht="15" customHeight="1" x14ac:dyDescent="0.25">
      <c r="A17" s="1">
        <v>45291</v>
      </c>
      <c r="B17" s="98" t="s">
        <v>530</v>
      </c>
      <c r="C17" s="98" t="s">
        <v>578</v>
      </c>
      <c r="D17" s="98" t="s">
        <v>536</v>
      </c>
      <c r="E17" s="98" t="s">
        <v>560</v>
      </c>
      <c r="F17" s="100">
        <v>38088526.719999999</v>
      </c>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9"/>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20" width="21.7109375" style="4"/>
  </cols>
  <sheetData>
    <row r="1" spans="1:20" s="16" customFormat="1" ht="15" customHeight="1" x14ac:dyDescent="0.25">
      <c r="A1" s="10" t="s">
        <v>0</v>
      </c>
      <c r="B1" s="11" t="s">
        <v>1</v>
      </c>
      <c r="C1" s="11" t="s">
        <v>2</v>
      </c>
      <c r="D1" s="11" t="s">
        <v>559</v>
      </c>
      <c r="E1" s="11" t="s">
        <v>3</v>
      </c>
      <c r="F1" s="12" t="s">
        <v>127</v>
      </c>
      <c r="G1" s="12" t="s">
        <v>131</v>
      </c>
      <c r="H1" s="12" t="s">
        <v>133</v>
      </c>
      <c r="I1" s="12" t="s">
        <v>135</v>
      </c>
      <c r="J1" s="12" t="s">
        <v>137</v>
      </c>
      <c r="K1" s="12" t="s">
        <v>139</v>
      </c>
      <c r="L1" s="12" t="s">
        <v>141</v>
      </c>
      <c r="M1" s="12" t="s">
        <v>143</v>
      </c>
      <c r="N1" s="12" t="s">
        <v>145</v>
      </c>
      <c r="O1" s="12" t="s">
        <v>147</v>
      </c>
      <c r="P1" s="12" t="s">
        <v>149</v>
      </c>
      <c r="Q1" s="12" t="s">
        <v>151</v>
      </c>
      <c r="R1" s="12" t="s">
        <v>153</v>
      </c>
      <c r="S1" s="12" t="s">
        <v>155</v>
      </c>
      <c r="T1" s="12" t="s">
        <v>157</v>
      </c>
    </row>
    <row r="2" spans="1:20" ht="15" customHeight="1" x14ac:dyDescent="0.25">
      <c r="A2" s="1">
        <v>45016</v>
      </c>
      <c r="B2" s="98" t="s">
        <v>530</v>
      </c>
      <c r="C2" s="98" t="s">
        <v>578</v>
      </c>
      <c r="D2" s="98" t="s">
        <v>542</v>
      </c>
      <c r="E2" s="98" t="s">
        <v>560</v>
      </c>
      <c r="F2" s="97">
        <v>0</v>
      </c>
      <c r="G2" s="97">
        <v>0</v>
      </c>
      <c r="H2" s="97">
        <v>0</v>
      </c>
      <c r="I2" s="103">
        <v>163455679.07000002</v>
      </c>
      <c r="J2" s="97">
        <v>4449005</v>
      </c>
      <c r="K2" s="97">
        <v>14743500</v>
      </c>
      <c r="L2" s="97">
        <v>0</v>
      </c>
      <c r="M2" s="97">
        <v>7361460</v>
      </c>
      <c r="N2" s="97">
        <v>0</v>
      </c>
      <c r="O2" s="97">
        <v>0</v>
      </c>
      <c r="P2" s="97">
        <v>0</v>
      </c>
      <c r="Q2" s="97">
        <v>0</v>
      </c>
      <c r="R2" s="97">
        <v>0</v>
      </c>
      <c r="S2" s="97">
        <v>7283720</v>
      </c>
      <c r="T2" s="97">
        <v>197293364.07000002</v>
      </c>
    </row>
    <row r="3" spans="1:20" ht="15" customHeight="1" x14ac:dyDescent="0.25">
      <c r="A3" s="1">
        <v>45016</v>
      </c>
      <c r="B3" s="98" t="s">
        <v>530</v>
      </c>
      <c r="C3" s="98" t="s">
        <v>578</v>
      </c>
      <c r="D3" s="98" t="s">
        <v>541</v>
      </c>
      <c r="E3" s="98" t="s">
        <v>560</v>
      </c>
      <c r="F3" s="97">
        <v>0</v>
      </c>
      <c r="G3" s="97">
        <v>0</v>
      </c>
      <c r="H3" s="97">
        <v>0</v>
      </c>
      <c r="I3" s="103">
        <v>163455679.07000002</v>
      </c>
      <c r="J3" s="97">
        <v>4093084.5999999996</v>
      </c>
      <c r="K3" s="97">
        <v>13363940</v>
      </c>
      <c r="L3" s="97">
        <v>0</v>
      </c>
      <c r="M3" s="97">
        <v>6625314</v>
      </c>
      <c r="N3" s="97">
        <v>0</v>
      </c>
      <c r="O3" s="97">
        <v>0</v>
      </c>
      <c r="P3" s="97">
        <v>0</v>
      </c>
      <c r="Q3" s="97">
        <v>0</v>
      </c>
      <c r="R3" s="97">
        <v>0</v>
      </c>
      <c r="S3" s="97">
        <v>6409673.5999999996</v>
      </c>
      <c r="T3" s="97">
        <v>193947691.27000001</v>
      </c>
    </row>
    <row r="4" spans="1:20" ht="15" customHeight="1" x14ac:dyDescent="0.25">
      <c r="A4" s="1">
        <v>45107</v>
      </c>
      <c r="B4" s="98" t="s">
        <v>530</v>
      </c>
      <c r="C4" s="98" t="s">
        <v>578</v>
      </c>
      <c r="D4" s="98" t="s">
        <v>542</v>
      </c>
      <c r="E4" s="98" t="s">
        <v>560</v>
      </c>
      <c r="F4" s="97">
        <v>0</v>
      </c>
      <c r="G4" s="97">
        <v>0</v>
      </c>
      <c r="H4" s="97">
        <v>0</v>
      </c>
      <c r="I4" s="103">
        <v>155984829.90000001</v>
      </c>
      <c r="J4" s="97">
        <v>3335218</v>
      </c>
      <c r="K4" s="97">
        <v>14794250</v>
      </c>
      <c r="L4" s="97">
        <v>0</v>
      </c>
      <c r="M4" s="97">
        <v>7364380</v>
      </c>
      <c r="N4" s="97">
        <v>0</v>
      </c>
      <c r="O4" s="97">
        <v>0</v>
      </c>
      <c r="P4" s="97">
        <v>0</v>
      </c>
      <c r="Q4" s="97">
        <v>0</v>
      </c>
      <c r="R4" s="97">
        <v>0</v>
      </c>
      <c r="S4" s="97">
        <v>6569600</v>
      </c>
      <c r="T4" s="97">
        <v>188048277.90000001</v>
      </c>
    </row>
    <row r="5" spans="1:20" ht="15" customHeight="1" x14ac:dyDescent="0.25">
      <c r="A5" s="1">
        <v>45107</v>
      </c>
      <c r="B5" s="98" t="s">
        <v>530</v>
      </c>
      <c r="C5" s="98" t="s">
        <v>578</v>
      </c>
      <c r="D5" s="98" t="s">
        <v>541</v>
      </c>
      <c r="E5" s="98" t="s">
        <v>560</v>
      </c>
      <c r="F5" s="97">
        <v>0</v>
      </c>
      <c r="G5" s="97">
        <v>0</v>
      </c>
      <c r="H5" s="97">
        <v>0</v>
      </c>
      <c r="I5" s="103">
        <v>155984829.90000001</v>
      </c>
      <c r="J5" s="97">
        <v>3068400.56</v>
      </c>
      <c r="K5" s="97">
        <v>13411290</v>
      </c>
      <c r="L5" s="97">
        <v>0</v>
      </c>
      <c r="M5" s="97">
        <v>6627942</v>
      </c>
      <c r="N5" s="97">
        <v>0</v>
      </c>
      <c r="O5" s="97">
        <v>0</v>
      </c>
      <c r="P5" s="97">
        <v>0</v>
      </c>
      <c r="Q5" s="97">
        <v>0</v>
      </c>
      <c r="R5" s="97">
        <v>0</v>
      </c>
      <c r="S5" s="97">
        <v>5781248</v>
      </c>
      <c r="T5" s="97">
        <v>184873710.46000001</v>
      </c>
    </row>
    <row r="6" spans="1:20" ht="15" customHeight="1" x14ac:dyDescent="0.25">
      <c r="A6" s="1">
        <v>45199</v>
      </c>
      <c r="B6" s="98" t="s">
        <v>530</v>
      </c>
      <c r="C6" s="98" t="s">
        <v>578</v>
      </c>
      <c r="D6" s="98" t="s">
        <v>542</v>
      </c>
      <c r="E6" s="98" t="s">
        <v>560</v>
      </c>
      <c r="F6" s="97">
        <v>0</v>
      </c>
      <c r="G6" s="97">
        <v>0</v>
      </c>
      <c r="H6" s="97">
        <v>0</v>
      </c>
      <c r="I6" s="103">
        <v>139605920.02000001</v>
      </c>
      <c r="J6" s="97">
        <v>8104835</v>
      </c>
      <c r="K6" s="97">
        <v>14744000</v>
      </c>
      <c r="L6" s="97">
        <v>0</v>
      </c>
      <c r="M6" s="97">
        <v>3509360</v>
      </c>
      <c r="N6" s="97">
        <v>0</v>
      </c>
      <c r="O6" s="97">
        <v>0</v>
      </c>
      <c r="P6" s="97">
        <v>0</v>
      </c>
      <c r="Q6" s="97">
        <v>0</v>
      </c>
      <c r="R6" s="97">
        <v>0</v>
      </c>
      <c r="S6" s="97">
        <v>3226000</v>
      </c>
      <c r="T6" s="97">
        <v>169190115.02000001</v>
      </c>
    </row>
    <row r="7" spans="1:20" ht="15" customHeight="1" x14ac:dyDescent="0.25">
      <c r="A7" s="1">
        <v>45199</v>
      </c>
      <c r="B7" s="98" t="s">
        <v>530</v>
      </c>
      <c r="C7" s="98" t="s">
        <v>578</v>
      </c>
      <c r="D7" s="98" t="s">
        <v>541</v>
      </c>
      <c r="E7" s="98" t="s">
        <v>560</v>
      </c>
      <c r="F7" s="97">
        <v>0</v>
      </c>
      <c r="G7" s="97">
        <v>0</v>
      </c>
      <c r="H7" s="97">
        <v>0</v>
      </c>
      <c r="I7" s="103">
        <v>139605920.02000001</v>
      </c>
      <c r="J7" s="97">
        <v>7456448.2000000002</v>
      </c>
      <c r="K7" s="97">
        <v>13365180</v>
      </c>
      <c r="L7" s="97">
        <v>0</v>
      </c>
      <c r="M7" s="97">
        <v>3158424</v>
      </c>
      <c r="N7" s="97">
        <v>0</v>
      </c>
      <c r="O7" s="97">
        <v>0</v>
      </c>
      <c r="P7" s="97">
        <v>0</v>
      </c>
      <c r="Q7" s="97">
        <v>0</v>
      </c>
      <c r="R7" s="97">
        <v>0</v>
      </c>
      <c r="S7" s="97">
        <v>2838880</v>
      </c>
      <c r="T7" s="97">
        <v>166424852.22</v>
      </c>
    </row>
    <row r="8" spans="1:20" ht="15" customHeight="1" x14ac:dyDescent="0.25">
      <c r="A8" s="1">
        <v>45291</v>
      </c>
      <c r="B8" s="98" t="s">
        <v>530</v>
      </c>
      <c r="C8" s="98" t="s">
        <v>578</v>
      </c>
      <c r="D8" s="98" t="s">
        <v>542</v>
      </c>
      <c r="E8" s="98" t="s">
        <v>560</v>
      </c>
      <c r="F8" s="97">
        <v>0</v>
      </c>
      <c r="G8" s="97">
        <v>0</v>
      </c>
      <c r="H8" s="97">
        <v>0</v>
      </c>
      <c r="I8" s="103">
        <v>105084797.16000001</v>
      </c>
      <c r="J8" s="97">
        <v>8641900</v>
      </c>
      <c r="K8" s="97">
        <v>4754500</v>
      </c>
      <c r="L8" s="97">
        <v>0</v>
      </c>
      <c r="M8" s="97">
        <v>3629820</v>
      </c>
      <c r="N8" s="97">
        <v>0</v>
      </c>
      <c r="O8" s="97">
        <v>0</v>
      </c>
      <c r="P8" s="97">
        <v>0</v>
      </c>
      <c r="Q8" s="97">
        <v>0</v>
      </c>
      <c r="R8" s="97">
        <v>0</v>
      </c>
      <c r="S8" s="97">
        <v>3226000</v>
      </c>
      <c r="T8" s="97">
        <v>125337017.16000001</v>
      </c>
    </row>
    <row r="9" spans="1:20" ht="15" customHeight="1" x14ac:dyDescent="0.25">
      <c r="A9" s="1">
        <v>45291</v>
      </c>
      <c r="B9" s="98" t="s">
        <v>530</v>
      </c>
      <c r="C9" s="98" t="s">
        <v>578</v>
      </c>
      <c r="D9" s="98" t="s">
        <v>541</v>
      </c>
      <c r="E9" s="98" t="s">
        <v>560</v>
      </c>
      <c r="F9" s="97">
        <v>0</v>
      </c>
      <c r="G9" s="97">
        <v>0</v>
      </c>
      <c r="H9" s="97">
        <v>0</v>
      </c>
      <c r="I9" s="103">
        <v>105084797.16000001</v>
      </c>
      <c r="J9" s="97">
        <v>7950548</v>
      </c>
      <c r="K9" s="97">
        <v>4374140</v>
      </c>
      <c r="L9" s="97">
        <v>0</v>
      </c>
      <c r="M9" s="97">
        <v>3266838</v>
      </c>
      <c r="N9" s="97">
        <v>0</v>
      </c>
      <c r="O9" s="97">
        <v>0</v>
      </c>
      <c r="P9" s="97">
        <v>0</v>
      </c>
      <c r="Q9" s="97">
        <v>0</v>
      </c>
      <c r="R9" s="97">
        <v>0</v>
      </c>
      <c r="S9" s="97">
        <v>2838880</v>
      </c>
      <c r="T9" s="97">
        <v>123515203.16000001</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4" max="4" width="46" bestFit="1" customWidth="1"/>
    <col min="6" max="13" width="21.7109375" style="4"/>
  </cols>
  <sheetData>
    <row r="1" spans="1:13" s="16" customFormat="1" ht="15" customHeight="1" x14ac:dyDescent="0.25">
      <c r="A1" s="10" t="s">
        <v>0</v>
      </c>
      <c r="B1" s="11" t="s">
        <v>1</v>
      </c>
      <c r="C1" s="11" t="s">
        <v>2</v>
      </c>
      <c r="D1" s="11" t="s">
        <v>559</v>
      </c>
      <c r="E1" s="11" t="s">
        <v>3</v>
      </c>
      <c r="F1" s="12" t="s">
        <v>221</v>
      </c>
      <c r="G1" s="12" t="s">
        <v>225</v>
      </c>
      <c r="H1" s="12" t="s">
        <v>227</v>
      </c>
      <c r="I1" s="12" t="s">
        <v>229</v>
      </c>
      <c r="J1" s="12" t="s">
        <v>231</v>
      </c>
      <c r="K1" s="12" t="s">
        <v>233</v>
      </c>
      <c r="L1" s="12" t="s">
        <v>235</v>
      </c>
      <c r="M1" s="12" t="s">
        <v>237</v>
      </c>
    </row>
    <row r="2" spans="1:13" ht="15" customHeight="1" x14ac:dyDescent="0.25">
      <c r="A2" s="1">
        <v>45016</v>
      </c>
      <c r="B2" s="98" t="s">
        <v>530</v>
      </c>
      <c r="C2" s="98" t="s">
        <v>578</v>
      </c>
      <c r="D2" s="98" t="s">
        <v>223</v>
      </c>
      <c r="E2" s="98" t="s">
        <v>560</v>
      </c>
      <c r="F2" s="97">
        <v>31501268.970000066</v>
      </c>
      <c r="G2" s="97">
        <v>0</v>
      </c>
      <c r="H2" s="97">
        <v>0</v>
      </c>
      <c r="I2" s="97">
        <v>139011586.43000007</v>
      </c>
      <c r="J2" s="97">
        <v>0</v>
      </c>
      <c r="K2" s="97">
        <v>30000000</v>
      </c>
      <c r="L2" s="97">
        <v>0</v>
      </c>
      <c r="M2" s="97">
        <v>0</v>
      </c>
    </row>
    <row r="3" spans="1:13" ht="15" customHeight="1" x14ac:dyDescent="0.25">
      <c r="A3" s="1">
        <v>45107</v>
      </c>
      <c r="B3" s="98" t="s">
        <v>530</v>
      </c>
      <c r="C3" s="98" t="s">
        <v>578</v>
      </c>
      <c r="D3" s="98" t="s">
        <v>223</v>
      </c>
      <c r="E3" s="98" t="s">
        <v>560</v>
      </c>
      <c r="F3" s="97">
        <v>32445620.000000015</v>
      </c>
      <c r="G3" s="97">
        <v>0</v>
      </c>
      <c r="H3" s="97">
        <v>0</v>
      </c>
      <c r="I3" s="97">
        <v>136470155.29000008</v>
      </c>
      <c r="J3" s="97">
        <v>0</v>
      </c>
      <c r="K3" s="97">
        <v>30000000</v>
      </c>
      <c r="L3" s="97">
        <v>0</v>
      </c>
      <c r="M3" s="97">
        <v>0</v>
      </c>
    </row>
    <row r="4" spans="1:13" ht="15" customHeight="1" x14ac:dyDescent="0.25">
      <c r="A4" s="1">
        <v>45199</v>
      </c>
      <c r="B4" s="98" t="s">
        <v>530</v>
      </c>
      <c r="C4" s="98" t="s">
        <v>578</v>
      </c>
      <c r="D4" s="98" t="s">
        <v>223</v>
      </c>
      <c r="E4" s="98" t="s">
        <v>560</v>
      </c>
      <c r="F4" s="97">
        <v>32011238.460000254</v>
      </c>
      <c r="G4" s="97">
        <v>0</v>
      </c>
      <c r="H4" s="97">
        <v>0</v>
      </c>
      <c r="I4" s="97">
        <v>123372916.14000008</v>
      </c>
      <c r="J4" s="97">
        <v>0</v>
      </c>
      <c r="K4" s="97">
        <v>30000000</v>
      </c>
      <c r="L4" s="97">
        <v>0</v>
      </c>
      <c r="M4" s="97">
        <v>0</v>
      </c>
    </row>
    <row r="5" spans="1:13" ht="15" customHeight="1" x14ac:dyDescent="0.25">
      <c r="A5" s="1">
        <v>45291</v>
      </c>
      <c r="B5" s="98" t="s">
        <v>530</v>
      </c>
      <c r="C5" s="98" t="s">
        <v>578</v>
      </c>
      <c r="D5" s="98" t="s">
        <v>223</v>
      </c>
      <c r="E5" s="98" t="s">
        <v>560</v>
      </c>
      <c r="F5" s="97">
        <v>33929517.070000291</v>
      </c>
      <c r="G5" s="97">
        <v>0</v>
      </c>
      <c r="H5" s="97">
        <v>0</v>
      </c>
      <c r="I5" s="97">
        <v>107257906.80000007</v>
      </c>
      <c r="J5" s="97">
        <v>0</v>
      </c>
      <c r="K5" s="97">
        <v>30000000</v>
      </c>
      <c r="L5" s="97">
        <v>0</v>
      </c>
      <c r="M5" s="97">
        <v>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8" width="21.7109375" style="4"/>
  </cols>
  <sheetData>
    <row r="1" spans="1:8" s="16" customFormat="1" ht="15" customHeight="1" x14ac:dyDescent="0.25">
      <c r="A1" s="10" t="s">
        <v>0</v>
      </c>
      <c r="B1" s="11" t="s">
        <v>1</v>
      </c>
      <c r="C1" s="11" t="s">
        <v>2</v>
      </c>
      <c r="D1" s="110" t="s">
        <v>559</v>
      </c>
      <c r="E1" s="11" t="s">
        <v>3</v>
      </c>
      <c r="F1" s="12" t="s">
        <v>246</v>
      </c>
      <c r="G1" s="12" t="s">
        <v>255</v>
      </c>
      <c r="H1" s="12" t="s">
        <v>257</v>
      </c>
    </row>
    <row r="2" spans="1:8" ht="15" customHeight="1" x14ac:dyDescent="0.25">
      <c r="A2" s="1">
        <v>45016</v>
      </c>
      <c r="B2" s="98" t="s">
        <v>530</v>
      </c>
      <c r="C2" s="98" t="s">
        <v>578</v>
      </c>
      <c r="D2" s="111" t="s">
        <v>546</v>
      </c>
      <c r="E2" s="98" t="s">
        <v>560</v>
      </c>
      <c r="F2" s="97">
        <v>10152448.85</v>
      </c>
      <c r="G2" s="97">
        <v>86373054.400000006</v>
      </c>
      <c r="H2" s="97">
        <v>0</v>
      </c>
    </row>
    <row r="3" spans="1:8" ht="15" customHeight="1" x14ac:dyDescent="0.25">
      <c r="A3" s="1">
        <v>45107</v>
      </c>
      <c r="B3" s="98" t="s">
        <v>530</v>
      </c>
      <c r="C3" s="98" t="s">
        <v>578</v>
      </c>
      <c r="D3" s="111" t="s">
        <v>546</v>
      </c>
      <c r="E3" s="98" t="s">
        <v>560</v>
      </c>
      <c r="F3" s="97">
        <v>26725991.25</v>
      </c>
      <c r="G3" s="97">
        <v>26725991.25</v>
      </c>
      <c r="H3" s="97">
        <v>0</v>
      </c>
    </row>
    <row r="4" spans="1:8" ht="15" customHeight="1" x14ac:dyDescent="0.25">
      <c r="A4" s="1">
        <v>45199</v>
      </c>
      <c r="B4" s="98" t="s">
        <v>530</v>
      </c>
      <c r="C4" s="98" t="s">
        <v>578</v>
      </c>
      <c r="D4" s="111" t="s">
        <v>546</v>
      </c>
      <c r="E4" s="98" t="s">
        <v>560</v>
      </c>
      <c r="F4" s="97">
        <v>32868528.879999999</v>
      </c>
      <c r="G4" s="97">
        <v>32868528.879999999</v>
      </c>
      <c r="H4" s="97">
        <v>0</v>
      </c>
    </row>
    <row r="5" spans="1:8" ht="15" customHeight="1" x14ac:dyDescent="0.25">
      <c r="A5" s="1">
        <v>45291</v>
      </c>
      <c r="B5" s="98" t="s">
        <v>530</v>
      </c>
      <c r="C5" s="98" t="s">
        <v>578</v>
      </c>
      <c r="D5" s="111" t="s">
        <v>546</v>
      </c>
      <c r="E5" s="98" t="s">
        <v>560</v>
      </c>
      <c r="F5" s="97">
        <v>28186245.399999999</v>
      </c>
      <c r="G5" s="97">
        <v>32868528.879999999</v>
      </c>
      <c r="H5" s="97">
        <v>0</v>
      </c>
    </row>
  </sheetData>
  <autoFilter ref="A1:H4" xr:uid="{BCCF1C97-D6AA-40BA-837A-980B17B81CD5}"/>
  <sortState xmlns:xlrd2="http://schemas.microsoft.com/office/spreadsheetml/2017/richdata2" ref="A1:H4">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7" width="21.7109375" style="4"/>
  </cols>
  <sheetData>
    <row r="1" spans="1:7" s="16" customFormat="1" ht="15" customHeight="1" x14ac:dyDescent="0.25">
      <c r="A1" s="10" t="s">
        <v>0</v>
      </c>
      <c r="B1" s="11" t="s">
        <v>1</v>
      </c>
      <c r="C1" s="11" t="s">
        <v>2</v>
      </c>
      <c r="D1" s="11" t="s">
        <v>559</v>
      </c>
      <c r="E1" s="11" t="s">
        <v>3</v>
      </c>
      <c r="F1" s="12" t="s">
        <v>252</v>
      </c>
      <c r="G1" s="12" t="s">
        <v>263</v>
      </c>
    </row>
    <row r="2" spans="1:7" ht="15" customHeight="1" x14ac:dyDescent="0.25">
      <c r="A2" s="1">
        <v>45016</v>
      </c>
      <c r="B2" s="98" t="s">
        <v>530</v>
      </c>
      <c r="C2" s="98" t="s">
        <v>578</v>
      </c>
      <c r="D2" s="98" t="s">
        <v>101</v>
      </c>
      <c r="E2" s="98" t="s">
        <v>560</v>
      </c>
      <c r="F2" s="97">
        <v>0</v>
      </c>
      <c r="G2" s="97">
        <v>0</v>
      </c>
    </row>
    <row r="3" spans="1:7" ht="15" customHeight="1" x14ac:dyDescent="0.25">
      <c r="A3" s="1">
        <v>45107</v>
      </c>
      <c r="B3" s="98" t="s">
        <v>530</v>
      </c>
      <c r="C3" s="98" t="s">
        <v>578</v>
      </c>
      <c r="D3" s="98" t="s">
        <v>101</v>
      </c>
      <c r="E3" s="98" t="s">
        <v>560</v>
      </c>
      <c r="F3" s="97">
        <v>0</v>
      </c>
      <c r="G3" s="97">
        <v>0</v>
      </c>
    </row>
    <row r="4" spans="1:7" ht="15" customHeight="1" x14ac:dyDescent="0.25">
      <c r="A4" s="1">
        <v>45199</v>
      </c>
      <c r="B4" s="98" t="s">
        <v>530</v>
      </c>
      <c r="C4" s="98" t="s">
        <v>578</v>
      </c>
      <c r="D4" s="98" t="s">
        <v>101</v>
      </c>
      <c r="E4" s="98" t="s">
        <v>560</v>
      </c>
      <c r="F4" s="97">
        <v>0</v>
      </c>
      <c r="G4" s="97">
        <v>0</v>
      </c>
    </row>
    <row r="5" spans="1:7" ht="15" customHeight="1" x14ac:dyDescent="0.25">
      <c r="A5" s="1">
        <v>45291</v>
      </c>
      <c r="B5" s="98" t="s">
        <v>530</v>
      </c>
      <c r="C5" s="98" t="s">
        <v>578</v>
      </c>
      <c r="D5" s="98" t="s">
        <v>101</v>
      </c>
      <c r="E5" s="98" t="s">
        <v>560</v>
      </c>
      <c r="F5" s="97">
        <v>0</v>
      </c>
      <c r="G5" s="97">
        <v>0</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5" max="5" width="21.7109375" style="6"/>
  </cols>
  <sheetData>
    <row r="1" spans="1:5" s="16" customFormat="1" ht="15" customHeight="1" x14ac:dyDescent="0.25">
      <c r="A1" s="10" t="s">
        <v>0</v>
      </c>
      <c r="B1" s="11" t="s">
        <v>1</v>
      </c>
      <c r="C1" s="11" t="s">
        <v>2</v>
      </c>
      <c r="D1" s="11" t="s">
        <v>559</v>
      </c>
      <c r="E1" s="14" t="s">
        <v>259</v>
      </c>
    </row>
    <row r="2" spans="1:5" ht="15" customHeight="1" x14ac:dyDescent="0.25">
      <c r="A2" s="1">
        <v>45016</v>
      </c>
      <c r="B2" s="98" t="s">
        <v>530</v>
      </c>
      <c r="C2" s="98" t="s">
        <v>578</v>
      </c>
      <c r="D2" s="98" t="s">
        <v>547</v>
      </c>
      <c r="E2" s="96">
        <v>0</v>
      </c>
    </row>
    <row r="3" spans="1:5" ht="15" customHeight="1" x14ac:dyDescent="0.25">
      <c r="A3" s="1">
        <v>45107</v>
      </c>
      <c r="B3" s="98" t="s">
        <v>530</v>
      </c>
      <c r="C3" s="98" t="s">
        <v>578</v>
      </c>
      <c r="D3" s="98" t="s">
        <v>547</v>
      </c>
      <c r="E3" s="96">
        <v>0</v>
      </c>
    </row>
    <row r="4" spans="1:5" ht="15" customHeight="1" x14ac:dyDescent="0.25">
      <c r="A4" s="1">
        <v>45199</v>
      </c>
      <c r="B4" s="98" t="s">
        <v>530</v>
      </c>
      <c r="C4" s="98" t="s">
        <v>578</v>
      </c>
      <c r="D4" s="98" t="s">
        <v>547</v>
      </c>
      <c r="E4" s="96">
        <v>0</v>
      </c>
    </row>
    <row r="5" spans="1:5" ht="15" customHeight="1" x14ac:dyDescent="0.25">
      <c r="A5" s="1">
        <v>45291</v>
      </c>
      <c r="B5" s="98" t="s">
        <v>530</v>
      </c>
      <c r="C5" s="98" t="s">
        <v>578</v>
      </c>
      <c r="D5" s="98" t="s">
        <v>547</v>
      </c>
      <c r="E5" s="96">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5" max="6" width="21.7109375" style="7"/>
  </cols>
  <sheetData>
    <row r="1" spans="1:6" s="16" customFormat="1" ht="15" customHeight="1" x14ac:dyDescent="0.25">
      <c r="A1" s="10" t="s">
        <v>0</v>
      </c>
      <c r="B1" s="11" t="s">
        <v>1</v>
      </c>
      <c r="C1" s="11" t="s">
        <v>2</v>
      </c>
      <c r="D1" s="11" t="s">
        <v>559</v>
      </c>
      <c r="E1" s="15" t="s">
        <v>347</v>
      </c>
      <c r="F1" s="15" t="s">
        <v>364</v>
      </c>
    </row>
    <row r="2" spans="1:6" ht="15" customHeight="1" x14ac:dyDescent="0.25">
      <c r="A2" s="1">
        <v>45016</v>
      </c>
      <c r="B2" s="98" t="s">
        <v>530</v>
      </c>
      <c r="C2" s="98" t="s">
        <v>578</v>
      </c>
      <c r="D2" s="98" t="s">
        <v>548</v>
      </c>
      <c r="E2" s="104">
        <v>0</v>
      </c>
      <c r="F2" s="104">
        <v>0</v>
      </c>
    </row>
    <row r="3" spans="1:6" ht="15" customHeight="1" x14ac:dyDescent="0.25">
      <c r="A3" s="1">
        <v>45107</v>
      </c>
      <c r="B3" s="98" t="s">
        <v>530</v>
      </c>
      <c r="C3" s="98" t="s">
        <v>578</v>
      </c>
      <c r="D3" s="98" t="s">
        <v>548</v>
      </c>
      <c r="E3" s="104">
        <v>0</v>
      </c>
      <c r="F3" s="104">
        <v>0</v>
      </c>
    </row>
    <row r="4" spans="1:6" ht="15" customHeight="1" x14ac:dyDescent="0.25">
      <c r="A4" s="1">
        <v>45199</v>
      </c>
      <c r="B4" s="98" t="s">
        <v>530</v>
      </c>
      <c r="C4" s="98" t="s">
        <v>578</v>
      </c>
      <c r="D4" s="98" t="s">
        <v>548</v>
      </c>
      <c r="E4" s="104">
        <v>0</v>
      </c>
      <c r="F4" s="104">
        <v>0</v>
      </c>
    </row>
    <row r="5" spans="1:6" ht="15" customHeight="1" x14ac:dyDescent="0.25">
      <c r="A5" s="1">
        <v>45291</v>
      </c>
      <c r="B5" s="98" t="s">
        <v>530</v>
      </c>
      <c r="C5" s="98" t="s">
        <v>578</v>
      </c>
      <c r="D5" s="98" t="s">
        <v>548</v>
      </c>
      <c r="E5" s="104">
        <v>0</v>
      </c>
      <c r="F5" s="104">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2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7" width="21.7109375" style="4"/>
  </cols>
  <sheetData>
    <row r="1" spans="1:7" s="16" customFormat="1" ht="15" customHeight="1" x14ac:dyDescent="0.25">
      <c r="A1" s="10" t="s">
        <v>0</v>
      </c>
      <c r="B1" s="11" t="s">
        <v>1</v>
      </c>
      <c r="C1" s="11" t="s">
        <v>2</v>
      </c>
      <c r="D1" s="11" t="s">
        <v>559</v>
      </c>
      <c r="E1" s="11" t="s">
        <v>3</v>
      </c>
      <c r="F1" s="12" t="s">
        <v>382</v>
      </c>
      <c r="G1" s="12" t="s">
        <v>386</v>
      </c>
    </row>
    <row r="2" spans="1:7" ht="15" customHeight="1" x14ac:dyDescent="0.25">
      <c r="A2" s="1">
        <v>45016</v>
      </c>
      <c r="B2" s="98" t="s">
        <v>530</v>
      </c>
      <c r="C2" s="98" t="s">
        <v>578</v>
      </c>
      <c r="D2" s="98" t="s">
        <v>554</v>
      </c>
      <c r="E2" s="98" t="s">
        <v>560</v>
      </c>
      <c r="F2" s="97">
        <v>0</v>
      </c>
      <c r="G2" s="97">
        <v>0</v>
      </c>
    </row>
    <row r="3" spans="1:7" ht="15" customHeight="1" x14ac:dyDescent="0.25">
      <c r="A3" s="1">
        <v>45016</v>
      </c>
      <c r="B3" s="98" t="s">
        <v>530</v>
      </c>
      <c r="C3" s="98" t="s">
        <v>578</v>
      </c>
      <c r="D3" s="98" t="s">
        <v>549</v>
      </c>
      <c r="E3" s="98" t="s">
        <v>560</v>
      </c>
      <c r="F3" s="97">
        <v>0</v>
      </c>
      <c r="G3" s="97">
        <v>0</v>
      </c>
    </row>
    <row r="4" spans="1:7" ht="15" customHeight="1" x14ac:dyDescent="0.25">
      <c r="A4" s="1">
        <v>45016</v>
      </c>
      <c r="B4" s="98" t="s">
        <v>530</v>
      </c>
      <c r="C4" s="98" t="s">
        <v>578</v>
      </c>
      <c r="D4" s="98" t="s">
        <v>551</v>
      </c>
      <c r="E4" s="98" t="s">
        <v>560</v>
      </c>
      <c r="F4" s="97">
        <v>0</v>
      </c>
      <c r="G4" s="97">
        <v>0</v>
      </c>
    </row>
    <row r="5" spans="1:7" ht="15" customHeight="1" x14ac:dyDescent="0.25">
      <c r="A5" s="1">
        <v>45016</v>
      </c>
      <c r="B5" s="98" t="s">
        <v>530</v>
      </c>
      <c r="C5" s="98" t="s">
        <v>578</v>
      </c>
      <c r="D5" s="98" t="s">
        <v>550</v>
      </c>
      <c r="E5" s="98" t="s">
        <v>560</v>
      </c>
      <c r="F5" s="97">
        <v>0</v>
      </c>
      <c r="G5" s="97">
        <v>0</v>
      </c>
    </row>
    <row r="6" spans="1:7" ht="15" customHeight="1" x14ac:dyDescent="0.25">
      <c r="A6" s="1">
        <v>45016</v>
      </c>
      <c r="B6" s="98" t="s">
        <v>530</v>
      </c>
      <c r="C6" s="98" t="s">
        <v>578</v>
      </c>
      <c r="D6" s="98" t="s">
        <v>552</v>
      </c>
      <c r="E6" s="98" t="s">
        <v>560</v>
      </c>
      <c r="F6" s="97">
        <v>0</v>
      </c>
      <c r="G6" s="97">
        <v>0</v>
      </c>
    </row>
    <row r="7" spans="1:7" ht="15" customHeight="1" x14ac:dyDescent="0.25">
      <c r="A7" s="1">
        <v>45016</v>
      </c>
      <c r="B7" s="98" t="s">
        <v>530</v>
      </c>
      <c r="C7" s="98" t="s">
        <v>578</v>
      </c>
      <c r="D7" s="98" t="s">
        <v>553</v>
      </c>
      <c r="E7" s="98" t="s">
        <v>560</v>
      </c>
      <c r="F7" s="97">
        <v>0</v>
      </c>
      <c r="G7" s="97">
        <v>0</v>
      </c>
    </row>
    <row r="8" spans="1:7" ht="15" customHeight="1" x14ac:dyDescent="0.25">
      <c r="A8" s="1">
        <v>45107</v>
      </c>
      <c r="B8" s="98" t="s">
        <v>530</v>
      </c>
      <c r="C8" s="98" t="s">
        <v>578</v>
      </c>
      <c r="D8" s="98" t="s">
        <v>554</v>
      </c>
      <c r="E8" s="98" t="s">
        <v>560</v>
      </c>
      <c r="F8" s="97">
        <v>0</v>
      </c>
      <c r="G8" s="97">
        <v>0</v>
      </c>
    </row>
    <row r="9" spans="1:7" ht="15" customHeight="1" x14ac:dyDescent="0.25">
      <c r="A9" s="1">
        <v>45107</v>
      </c>
      <c r="B9" s="98" t="s">
        <v>530</v>
      </c>
      <c r="C9" s="98" t="s">
        <v>578</v>
      </c>
      <c r="D9" s="98" t="s">
        <v>549</v>
      </c>
      <c r="E9" s="98" t="s">
        <v>560</v>
      </c>
      <c r="F9" s="97">
        <v>0</v>
      </c>
      <c r="G9" s="97">
        <v>0</v>
      </c>
    </row>
    <row r="10" spans="1:7" ht="15" customHeight="1" x14ac:dyDescent="0.25">
      <c r="A10" s="1">
        <v>45107</v>
      </c>
      <c r="B10" s="98" t="s">
        <v>530</v>
      </c>
      <c r="C10" s="98" t="s">
        <v>578</v>
      </c>
      <c r="D10" s="98" t="s">
        <v>551</v>
      </c>
      <c r="E10" s="98" t="s">
        <v>560</v>
      </c>
      <c r="F10" s="97">
        <v>0</v>
      </c>
      <c r="G10" s="97">
        <v>0</v>
      </c>
    </row>
    <row r="11" spans="1:7" ht="15" customHeight="1" x14ac:dyDescent="0.25">
      <c r="A11" s="1">
        <v>45107</v>
      </c>
      <c r="B11" s="98" t="s">
        <v>530</v>
      </c>
      <c r="C11" s="98" t="s">
        <v>578</v>
      </c>
      <c r="D11" s="98" t="s">
        <v>550</v>
      </c>
      <c r="E11" s="98" t="s">
        <v>560</v>
      </c>
      <c r="F11" s="97">
        <v>0</v>
      </c>
      <c r="G11" s="97">
        <v>0</v>
      </c>
    </row>
    <row r="12" spans="1:7" ht="15" customHeight="1" x14ac:dyDescent="0.25">
      <c r="A12" s="1">
        <v>45107</v>
      </c>
      <c r="B12" s="98" t="s">
        <v>530</v>
      </c>
      <c r="C12" s="98" t="s">
        <v>578</v>
      </c>
      <c r="D12" s="98" t="s">
        <v>552</v>
      </c>
      <c r="E12" s="98" t="s">
        <v>560</v>
      </c>
      <c r="F12" s="97">
        <v>0</v>
      </c>
      <c r="G12" s="97">
        <v>0</v>
      </c>
    </row>
    <row r="13" spans="1:7" ht="15" customHeight="1" x14ac:dyDescent="0.25">
      <c r="A13" s="1">
        <v>45107</v>
      </c>
      <c r="B13" s="98" t="s">
        <v>530</v>
      </c>
      <c r="C13" s="98" t="s">
        <v>578</v>
      </c>
      <c r="D13" s="98" t="s">
        <v>553</v>
      </c>
      <c r="E13" s="98" t="s">
        <v>560</v>
      </c>
      <c r="F13" s="97">
        <v>0</v>
      </c>
      <c r="G13" s="97">
        <v>0</v>
      </c>
    </row>
    <row r="14" spans="1:7" ht="15" customHeight="1" x14ac:dyDescent="0.25">
      <c r="A14" s="1">
        <v>45199</v>
      </c>
      <c r="B14" s="98" t="s">
        <v>530</v>
      </c>
      <c r="C14" s="98" t="s">
        <v>578</v>
      </c>
      <c r="D14" s="98" t="s">
        <v>554</v>
      </c>
      <c r="E14" s="98" t="s">
        <v>560</v>
      </c>
      <c r="F14" s="97">
        <v>0</v>
      </c>
      <c r="G14" s="97">
        <v>0</v>
      </c>
    </row>
    <row r="15" spans="1:7" ht="15" customHeight="1" x14ac:dyDescent="0.25">
      <c r="A15" s="1">
        <v>45199</v>
      </c>
      <c r="B15" s="98" t="s">
        <v>530</v>
      </c>
      <c r="C15" s="98" t="s">
        <v>578</v>
      </c>
      <c r="D15" s="98" t="s">
        <v>549</v>
      </c>
      <c r="E15" s="98" t="s">
        <v>560</v>
      </c>
      <c r="F15" s="97">
        <v>0</v>
      </c>
      <c r="G15" s="97">
        <v>0</v>
      </c>
    </row>
    <row r="16" spans="1:7" ht="15" customHeight="1" x14ac:dyDescent="0.25">
      <c r="A16" s="1">
        <v>45199</v>
      </c>
      <c r="B16" s="98" t="s">
        <v>530</v>
      </c>
      <c r="C16" s="98" t="s">
        <v>578</v>
      </c>
      <c r="D16" s="98" t="s">
        <v>551</v>
      </c>
      <c r="E16" s="98" t="s">
        <v>560</v>
      </c>
      <c r="F16" s="97">
        <v>0</v>
      </c>
      <c r="G16" s="97">
        <v>0</v>
      </c>
    </row>
    <row r="17" spans="1:7" ht="15" customHeight="1" x14ac:dyDescent="0.25">
      <c r="A17" s="1">
        <v>45199</v>
      </c>
      <c r="B17" s="98" t="s">
        <v>530</v>
      </c>
      <c r="C17" s="98" t="s">
        <v>578</v>
      </c>
      <c r="D17" s="98" t="s">
        <v>550</v>
      </c>
      <c r="E17" s="98" t="s">
        <v>560</v>
      </c>
      <c r="F17" s="97">
        <v>0</v>
      </c>
      <c r="G17" s="97">
        <v>0</v>
      </c>
    </row>
    <row r="18" spans="1:7" ht="15" customHeight="1" x14ac:dyDescent="0.25">
      <c r="A18" s="1">
        <v>45199</v>
      </c>
      <c r="B18" s="98" t="s">
        <v>530</v>
      </c>
      <c r="C18" s="98" t="s">
        <v>578</v>
      </c>
      <c r="D18" s="98" t="s">
        <v>552</v>
      </c>
      <c r="E18" s="98" t="s">
        <v>560</v>
      </c>
      <c r="F18" s="97">
        <v>0</v>
      </c>
      <c r="G18" s="97">
        <v>0</v>
      </c>
    </row>
    <row r="19" spans="1:7" ht="15" customHeight="1" x14ac:dyDescent="0.25">
      <c r="A19" s="1">
        <v>45199</v>
      </c>
      <c r="B19" s="98" t="s">
        <v>530</v>
      </c>
      <c r="C19" s="98" t="s">
        <v>578</v>
      </c>
      <c r="D19" s="98" t="s">
        <v>553</v>
      </c>
      <c r="E19" s="98" t="s">
        <v>560</v>
      </c>
      <c r="F19" s="97">
        <v>0</v>
      </c>
      <c r="G19" s="97">
        <v>0</v>
      </c>
    </row>
    <row r="20" spans="1:7" ht="15" customHeight="1" x14ac:dyDescent="0.25">
      <c r="A20" s="1">
        <v>45291</v>
      </c>
      <c r="B20" s="98" t="s">
        <v>530</v>
      </c>
      <c r="C20" s="98" t="s">
        <v>578</v>
      </c>
      <c r="D20" s="98" t="s">
        <v>554</v>
      </c>
      <c r="E20" s="98" t="s">
        <v>560</v>
      </c>
      <c r="F20" s="97">
        <v>0</v>
      </c>
      <c r="G20" s="97">
        <v>0</v>
      </c>
    </row>
    <row r="21" spans="1:7" ht="15" customHeight="1" x14ac:dyDescent="0.25">
      <c r="A21" s="1">
        <v>45291</v>
      </c>
      <c r="B21" s="98" t="s">
        <v>530</v>
      </c>
      <c r="C21" s="98" t="s">
        <v>578</v>
      </c>
      <c r="D21" s="98" t="s">
        <v>549</v>
      </c>
      <c r="E21" s="98" t="s">
        <v>560</v>
      </c>
      <c r="F21" s="97">
        <v>0</v>
      </c>
      <c r="G21" s="97">
        <v>0</v>
      </c>
    </row>
    <row r="22" spans="1:7" ht="15" customHeight="1" x14ac:dyDescent="0.25">
      <c r="A22" s="1">
        <v>45291</v>
      </c>
      <c r="B22" s="98" t="s">
        <v>530</v>
      </c>
      <c r="C22" s="98" t="s">
        <v>578</v>
      </c>
      <c r="D22" s="98" t="s">
        <v>551</v>
      </c>
      <c r="E22" s="98" t="s">
        <v>560</v>
      </c>
      <c r="F22" s="97">
        <v>0</v>
      </c>
      <c r="G22" s="97">
        <v>0</v>
      </c>
    </row>
    <row r="23" spans="1:7" ht="15" customHeight="1" x14ac:dyDescent="0.25">
      <c r="A23" s="1">
        <v>45291</v>
      </c>
      <c r="B23" s="98" t="s">
        <v>530</v>
      </c>
      <c r="C23" s="98" t="s">
        <v>578</v>
      </c>
      <c r="D23" s="98" t="s">
        <v>550</v>
      </c>
      <c r="E23" s="98" t="s">
        <v>560</v>
      </c>
      <c r="F23" s="97">
        <v>0</v>
      </c>
      <c r="G23" s="97">
        <v>0</v>
      </c>
    </row>
    <row r="24" spans="1:7" ht="15" customHeight="1" x14ac:dyDescent="0.25">
      <c r="A24" s="1">
        <v>45291</v>
      </c>
      <c r="B24" s="98" t="s">
        <v>530</v>
      </c>
      <c r="C24" s="98" t="s">
        <v>578</v>
      </c>
      <c r="D24" s="98" t="s">
        <v>552</v>
      </c>
      <c r="E24" s="98" t="s">
        <v>560</v>
      </c>
      <c r="F24" s="97">
        <v>0</v>
      </c>
      <c r="G24" s="97">
        <v>0</v>
      </c>
    </row>
    <row r="25" spans="1:7" ht="15" customHeight="1" x14ac:dyDescent="0.25">
      <c r="A25" s="1">
        <v>45291</v>
      </c>
      <c r="B25" s="98" t="s">
        <v>530</v>
      </c>
      <c r="C25" s="98" t="s">
        <v>578</v>
      </c>
      <c r="D25" s="98" t="s">
        <v>553</v>
      </c>
      <c r="E25" s="98" t="s">
        <v>560</v>
      </c>
      <c r="F25" s="97">
        <v>0</v>
      </c>
      <c r="G25" s="97">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9"/>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5" max="5" width="21.7109375" style="28"/>
  </cols>
  <sheetData>
    <row r="1" spans="1:5" s="16" customFormat="1" ht="15" customHeight="1" x14ac:dyDescent="0.25">
      <c r="A1" s="10" t="s">
        <v>0</v>
      </c>
      <c r="B1" s="11" t="s">
        <v>1</v>
      </c>
      <c r="C1" s="11" t="s">
        <v>2</v>
      </c>
      <c r="D1" s="11" t="s">
        <v>559</v>
      </c>
      <c r="E1" s="27" t="s">
        <v>393</v>
      </c>
    </row>
    <row r="2" spans="1:5" x14ac:dyDescent="0.25">
      <c r="A2" s="1">
        <v>45016</v>
      </c>
      <c r="B2" s="98" t="s">
        <v>530</v>
      </c>
      <c r="C2" s="98" t="s">
        <v>578</v>
      </c>
      <c r="D2" s="105" t="s">
        <v>579</v>
      </c>
      <c r="E2" s="79">
        <v>0.24652777777777779</v>
      </c>
    </row>
    <row r="3" spans="1:5" x14ac:dyDescent="0.25">
      <c r="A3" s="1">
        <v>45016</v>
      </c>
      <c r="B3" s="98" t="s">
        <v>530</v>
      </c>
      <c r="C3" s="98" t="s">
        <v>578</v>
      </c>
      <c r="D3" s="105" t="s">
        <v>580</v>
      </c>
      <c r="E3" s="96">
        <v>5</v>
      </c>
    </row>
    <row r="4" spans="1:5" x14ac:dyDescent="0.25">
      <c r="A4" s="1">
        <v>45107</v>
      </c>
      <c r="B4" s="98" t="s">
        <v>530</v>
      </c>
      <c r="C4" s="98" t="s">
        <v>578</v>
      </c>
      <c r="D4" s="105" t="s">
        <v>579</v>
      </c>
      <c r="E4" s="79">
        <v>0.47083333333333338</v>
      </c>
    </row>
    <row r="5" spans="1:5" x14ac:dyDescent="0.25">
      <c r="A5" s="1">
        <v>45107</v>
      </c>
      <c r="B5" s="98" t="s">
        <v>530</v>
      </c>
      <c r="C5" s="98" t="s">
        <v>578</v>
      </c>
      <c r="D5" s="105" t="s">
        <v>580</v>
      </c>
      <c r="E5" s="96">
        <v>10</v>
      </c>
    </row>
    <row r="6" spans="1:5" x14ac:dyDescent="0.25">
      <c r="A6" s="1">
        <v>45199</v>
      </c>
      <c r="B6" s="98" t="s">
        <v>530</v>
      </c>
      <c r="C6" s="98" t="s">
        <v>578</v>
      </c>
      <c r="D6" s="105" t="s">
        <v>579</v>
      </c>
      <c r="E6" s="79">
        <v>0.54375000000000007</v>
      </c>
    </row>
    <row r="7" spans="1:5" x14ac:dyDescent="0.25">
      <c r="A7" s="1">
        <v>45199</v>
      </c>
      <c r="B7" s="98" t="s">
        <v>530</v>
      </c>
      <c r="C7" s="98" t="s">
        <v>578</v>
      </c>
      <c r="D7" s="105" t="s">
        <v>580</v>
      </c>
      <c r="E7" s="96">
        <v>12</v>
      </c>
    </row>
    <row r="8" spans="1:5" x14ac:dyDescent="0.25">
      <c r="A8" s="1">
        <v>45291</v>
      </c>
      <c r="B8" s="98" t="s">
        <v>530</v>
      </c>
      <c r="C8" s="98" t="s">
        <v>578</v>
      </c>
      <c r="D8" s="105" t="s">
        <v>579</v>
      </c>
      <c r="E8" s="79">
        <v>0.39097222222222222</v>
      </c>
    </row>
    <row r="9" spans="1:5" x14ac:dyDescent="0.25">
      <c r="A9" s="1">
        <v>45291</v>
      </c>
      <c r="B9" s="98" t="s">
        <v>530</v>
      </c>
      <c r="C9" s="98" t="s">
        <v>578</v>
      </c>
      <c r="D9" s="105" t="s">
        <v>580</v>
      </c>
      <c r="E9" s="96">
        <v>10</v>
      </c>
    </row>
  </sheetData>
  <autoFilter ref="A1:E2" xr:uid="{C06876A2-68D4-48E7-AFD9-AACDB99901F9}"/>
  <sortState xmlns:xlrd2="http://schemas.microsoft.com/office/spreadsheetml/2017/richdata2" ref="A1:E2">
    <sortCondition descending="1" ref="A1"/>
  </sortState>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9"/>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5" max="10" width="21.7109375" style="7"/>
  </cols>
  <sheetData>
    <row r="1" spans="1:10" s="16" customFormat="1" ht="15" customHeight="1" x14ac:dyDescent="0.25">
      <c r="A1" s="10" t="s">
        <v>0</v>
      </c>
      <c r="B1" s="11" t="s">
        <v>1</v>
      </c>
      <c r="C1" s="11" t="s">
        <v>2</v>
      </c>
      <c r="D1" s="11" t="s">
        <v>559</v>
      </c>
      <c r="E1" s="15" t="s">
        <v>421</v>
      </c>
      <c r="F1" s="15" t="s">
        <v>425</v>
      </c>
      <c r="G1" s="15" t="s">
        <v>427</v>
      </c>
      <c r="H1" s="15" t="s">
        <v>430</v>
      </c>
      <c r="I1" s="15" t="s">
        <v>432</v>
      </c>
      <c r="J1" s="15" t="s">
        <v>434</v>
      </c>
    </row>
    <row r="2" spans="1:10" ht="15" customHeight="1" x14ac:dyDescent="0.25">
      <c r="A2" s="1">
        <v>45016</v>
      </c>
      <c r="B2" s="98" t="s">
        <v>530</v>
      </c>
      <c r="C2" s="98" t="s">
        <v>578</v>
      </c>
      <c r="D2" s="98" t="s">
        <v>555</v>
      </c>
      <c r="E2" s="104" t="s">
        <v>568</v>
      </c>
      <c r="F2" s="106">
        <v>0.580973963126029</v>
      </c>
      <c r="G2" s="106">
        <v>0.87060982801397402</v>
      </c>
      <c r="H2" s="104" t="s">
        <v>568</v>
      </c>
      <c r="I2" s="106">
        <v>0.45100124611244397</v>
      </c>
      <c r="J2" s="106">
        <v>0.73038615076024105</v>
      </c>
    </row>
    <row r="3" spans="1:10" ht="15" customHeight="1" x14ac:dyDescent="0.25">
      <c r="A3" s="1">
        <v>45016</v>
      </c>
      <c r="B3" s="98" t="s">
        <v>530</v>
      </c>
      <c r="C3" s="98" t="s">
        <v>578</v>
      </c>
      <c r="D3" s="98" t="s">
        <v>556</v>
      </c>
      <c r="E3" s="104" t="s">
        <v>568</v>
      </c>
      <c r="F3" s="106">
        <v>0.64262343919569109</v>
      </c>
      <c r="G3" s="106">
        <v>0.91906831356462304</v>
      </c>
      <c r="H3" s="104" t="s">
        <v>568</v>
      </c>
      <c r="I3" s="106">
        <v>0.514823329402608</v>
      </c>
      <c r="J3" s="106">
        <v>0.80667365151550596</v>
      </c>
    </row>
    <row r="4" spans="1:10" ht="15" customHeight="1" x14ac:dyDescent="0.25">
      <c r="A4" s="1">
        <v>45107</v>
      </c>
      <c r="B4" s="98" t="s">
        <v>530</v>
      </c>
      <c r="C4" s="98" t="s">
        <v>578</v>
      </c>
      <c r="D4" s="98" t="s">
        <v>555</v>
      </c>
      <c r="E4" s="104" t="s">
        <v>568</v>
      </c>
      <c r="F4" s="106">
        <v>0.59057407071134005</v>
      </c>
      <c r="G4" s="106">
        <v>0.87708875261623997</v>
      </c>
      <c r="H4" s="104" t="s">
        <v>568</v>
      </c>
      <c r="I4" s="106">
        <v>0.46543855939282702</v>
      </c>
      <c r="J4" s="106">
        <v>0.74652617139792599</v>
      </c>
    </row>
    <row r="5" spans="1:10" ht="15" customHeight="1" x14ac:dyDescent="0.25">
      <c r="A5" s="1">
        <v>45107</v>
      </c>
      <c r="B5" s="98" t="s">
        <v>530</v>
      </c>
      <c r="C5" s="98" t="s">
        <v>578</v>
      </c>
      <c r="D5" s="98" t="s">
        <v>556</v>
      </c>
      <c r="E5" s="104" t="s">
        <v>568</v>
      </c>
      <c r="F5" s="106">
        <v>0.70740034307837107</v>
      </c>
      <c r="G5" s="106">
        <v>0.92813508492325103</v>
      </c>
      <c r="H5" s="104" t="s">
        <v>568</v>
      </c>
      <c r="I5" s="106">
        <v>0.57267348099664706</v>
      </c>
      <c r="J5" s="106">
        <v>0.83531316689108293</v>
      </c>
    </row>
    <row r="6" spans="1:10" ht="15" customHeight="1" x14ac:dyDescent="0.25">
      <c r="A6" s="1">
        <v>45199</v>
      </c>
      <c r="B6" s="98" t="s">
        <v>530</v>
      </c>
      <c r="C6" s="98" t="s">
        <v>578</v>
      </c>
      <c r="D6" s="98" t="s">
        <v>555</v>
      </c>
      <c r="E6" s="104" t="s">
        <v>568</v>
      </c>
      <c r="F6" s="106">
        <v>0.60306641818879403</v>
      </c>
      <c r="G6" s="106">
        <v>0.87846815592798611</v>
      </c>
      <c r="H6" s="104" t="s">
        <v>568</v>
      </c>
      <c r="I6" s="106">
        <v>0.473852193372649</v>
      </c>
      <c r="J6" s="106">
        <v>0.76152760840256906</v>
      </c>
    </row>
    <row r="7" spans="1:10" ht="15" customHeight="1" x14ac:dyDescent="0.25">
      <c r="A7" s="1">
        <v>45199</v>
      </c>
      <c r="B7" s="98" t="s">
        <v>530</v>
      </c>
      <c r="C7" s="98" t="s">
        <v>578</v>
      </c>
      <c r="D7" s="98" t="s">
        <v>556</v>
      </c>
      <c r="E7" s="104" t="s">
        <v>568</v>
      </c>
      <c r="F7" s="106">
        <v>0.65155946976278201</v>
      </c>
      <c r="G7" s="106">
        <v>0.93142507360725402</v>
      </c>
      <c r="H7" s="104" t="s">
        <v>568</v>
      </c>
      <c r="I7" s="106">
        <v>0.591394528844574</v>
      </c>
      <c r="J7" s="106">
        <v>0.85150413356288401</v>
      </c>
    </row>
    <row r="8" spans="1:10" ht="15" customHeight="1" x14ac:dyDescent="0.25">
      <c r="A8" s="1">
        <v>45291</v>
      </c>
      <c r="B8" s="98" t="s">
        <v>530</v>
      </c>
      <c r="C8" s="98" t="s">
        <v>578</v>
      </c>
      <c r="D8" s="98" t="s">
        <v>555</v>
      </c>
      <c r="E8" s="104" t="s">
        <v>568</v>
      </c>
      <c r="F8" s="106">
        <v>0.55774454425970299</v>
      </c>
      <c r="G8" s="106">
        <v>0.86942078994921501</v>
      </c>
      <c r="H8" s="104" t="s">
        <v>568</v>
      </c>
      <c r="I8" s="106">
        <v>0.45622359490214204</v>
      </c>
      <c r="J8" s="106">
        <v>0.73839477679819099</v>
      </c>
    </row>
    <row r="9" spans="1:10" ht="15" customHeight="1" x14ac:dyDescent="0.25">
      <c r="A9" s="1">
        <v>45291</v>
      </c>
      <c r="B9" s="98" t="s">
        <v>530</v>
      </c>
      <c r="C9" s="98" t="s">
        <v>578</v>
      </c>
      <c r="D9" s="98" t="s">
        <v>556</v>
      </c>
      <c r="E9" s="104" t="s">
        <v>568</v>
      </c>
      <c r="F9" s="106">
        <v>0.68037378249373504</v>
      </c>
      <c r="G9" s="106">
        <v>0.92091697437875497</v>
      </c>
      <c r="H9" s="104" t="s">
        <v>568</v>
      </c>
      <c r="I9" s="106">
        <v>0.54703155674690107</v>
      </c>
      <c r="J9" s="106">
        <v>0.81033224517723401</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0"/>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6" width="21.7109375" style="7"/>
    <col min="7" max="7" width="21.7109375" style="4"/>
    <col min="8" max="8" width="21.7109375" style="6"/>
    <col min="9" max="10" width="21.7109375" style="5"/>
    <col min="11" max="11" width="21.7109375" style="6"/>
    <col min="12" max="12" width="21.7109375" style="7"/>
    <col min="13" max="13" width="21.7109375" style="4"/>
    <col min="14" max="14" width="21.7109375" style="5"/>
    <col min="15" max="15" width="21.7109375" style="4"/>
    <col min="16" max="16" width="21.7109375" style="5"/>
    <col min="17" max="18" width="21.7109375" style="7"/>
  </cols>
  <sheetData>
    <row r="1" spans="1:18" s="16" customFormat="1" ht="15" customHeight="1" x14ac:dyDescent="0.25">
      <c r="A1" s="10" t="s">
        <v>0</v>
      </c>
      <c r="B1" s="11" t="s">
        <v>1</v>
      </c>
      <c r="C1" s="11" t="s">
        <v>2</v>
      </c>
      <c r="D1" s="11" t="s">
        <v>562</v>
      </c>
      <c r="E1" s="11" t="s">
        <v>3</v>
      </c>
      <c r="F1" s="15" t="s">
        <v>457</v>
      </c>
      <c r="G1" s="12" t="s">
        <v>462</v>
      </c>
      <c r="H1" s="14" t="s">
        <v>469</v>
      </c>
      <c r="I1" s="13" t="s">
        <v>471</v>
      </c>
      <c r="J1" s="13" t="s">
        <v>473</v>
      </c>
      <c r="K1" s="14" t="s">
        <v>475</v>
      </c>
      <c r="L1" s="15" t="s">
        <v>477</v>
      </c>
      <c r="M1" s="12" t="s">
        <v>479</v>
      </c>
      <c r="N1" s="13" t="s">
        <v>481</v>
      </c>
      <c r="O1" s="12" t="s">
        <v>484</v>
      </c>
      <c r="P1" s="13" t="s">
        <v>486</v>
      </c>
      <c r="Q1" s="15" t="s">
        <v>488</v>
      </c>
      <c r="R1" s="15" t="s">
        <v>490</v>
      </c>
    </row>
    <row r="2" spans="1:18" s="9" customFormat="1" x14ac:dyDescent="0.25">
      <c r="A2" s="1">
        <v>45016</v>
      </c>
      <c r="B2" s="98" t="s">
        <v>530</v>
      </c>
      <c r="C2" s="98" t="s">
        <v>578</v>
      </c>
      <c r="D2" s="99" t="s">
        <v>581</v>
      </c>
      <c r="E2" s="99" t="s">
        <v>568</v>
      </c>
      <c r="F2" s="104" t="s">
        <v>568</v>
      </c>
      <c r="G2" s="97" t="s">
        <v>568</v>
      </c>
      <c r="H2" s="96" t="s">
        <v>568</v>
      </c>
      <c r="I2" s="99" t="s">
        <v>568</v>
      </c>
      <c r="J2" s="99" t="s">
        <v>568</v>
      </c>
      <c r="K2" s="96" t="s">
        <v>568</v>
      </c>
      <c r="L2" s="104" t="s">
        <v>568</v>
      </c>
      <c r="M2" s="97" t="s">
        <v>568</v>
      </c>
      <c r="N2" s="99" t="s">
        <v>568</v>
      </c>
      <c r="O2" s="97" t="s">
        <v>568</v>
      </c>
      <c r="P2" s="99" t="s">
        <v>568</v>
      </c>
      <c r="Q2" s="104" t="s">
        <v>568</v>
      </c>
      <c r="R2" s="104" t="s">
        <v>568</v>
      </c>
    </row>
    <row r="3" spans="1:18" s="9" customFormat="1" x14ac:dyDescent="0.25">
      <c r="A3" s="1">
        <v>45107</v>
      </c>
      <c r="B3" s="98" t="s">
        <v>530</v>
      </c>
      <c r="C3" s="98" t="s">
        <v>578</v>
      </c>
      <c r="D3" s="99" t="s">
        <v>581</v>
      </c>
      <c r="E3" s="99" t="s">
        <v>568</v>
      </c>
      <c r="F3" s="104" t="s">
        <v>568</v>
      </c>
      <c r="G3" s="97" t="s">
        <v>568</v>
      </c>
      <c r="H3" s="96" t="s">
        <v>568</v>
      </c>
      <c r="I3" s="99" t="s">
        <v>568</v>
      </c>
      <c r="J3" s="99" t="s">
        <v>568</v>
      </c>
      <c r="K3" s="96" t="s">
        <v>568</v>
      </c>
      <c r="L3" s="104" t="s">
        <v>568</v>
      </c>
      <c r="M3" s="97" t="s">
        <v>568</v>
      </c>
      <c r="N3" s="99" t="s">
        <v>568</v>
      </c>
      <c r="O3" s="97" t="s">
        <v>568</v>
      </c>
      <c r="P3" s="99" t="s">
        <v>568</v>
      </c>
      <c r="Q3" s="104" t="s">
        <v>568</v>
      </c>
      <c r="R3" s="104" t="s">
        <v>568</v>
      </c>
    </row>
    <row r="4" spans="1:18" s="9" customFormat="1" x14ac:dyDescent="0.25">
      <c r="A4" s="1">
        <v>45199</v>
      </c>
      <c r="B4" s="98" t="s">
        <v>530</v>
      </c>
      <c r="C4" s="98" t="s">
        <v>578</v>
      </c>
      <c r="D4" s="99" t="s">
        <v>581</v>
      </c>
      <c r="E4" s="99" t="s">
        <v>568</v>
      </c>
      <c r="F4" s="104" t="s">
        <v>568</v>
      </c>
      <c r="G4" s="97" t="s">
        <v>568</v>
      </c>
      <c r="H4" s="96" t="s">
        <v>568</v>
      </c>
      <c r="I4" s="99" t="s">
        <v>568</v>
      </c>
      <c r="J4" s="99" t="s">
        <v>568</v>
      </c>
      <c r="K4" s="96" t="s">
        <v>568</v>
      </c>
      <c r="L4" s="104" t="s">
        <v>568</v>
      </c>
      <c r="M4" s="97" t="s">
        <v>568</v>
      </c>
      <c r="N4" s="99" t="s">
        <v>568</v>
      </c>
      <c r="O4" s="97" t="s">
        <v>568</v>
      </c>
      <c r="P4" s="99" t="s">
        <v>568</v>
      </c>
      <c r="Q4" s="104" t="s">
        <v>568</v>
      </c>
      <c r="R4" s="104" t="s">
        <v>568</v>
      </c>
    </row>
    <row r="5" spans="1:18" s="9" customFormat="1" x14ac:dyDescent="0.25">
      <c r="A5" s="1">
        <v>45291</v>
      </c>
      <c r="B5" s="98" t="s">
        <v>530</v>
      </c>
      <c r="C5" s="98" t="s">
        <v>578</v>
      </c>
      <c r="D5" s="99" t="s">
        <v>581</v>
      </c>
      <c r="E5" s="99" t="s">
        <v>568</v>
      </c>
      <c r="F5" s="104" t="s">
        <v>568</v>
      </c>
      <c r="G5" s="97" t="s">
        <v>568</v>
      </c>
      <c r="H5" s="96" t="s">
        <v>568</v>
      </c>
      <c r="I5" s="99" t="s">
        <v>568</v>
      </c>
      <c r="J5" s="99" t="s">
        <v>568</v>
      </c>
      <c r="K5" s="96" t="s">
        <v>568</v>
      </c>
      <c r="L5" s="104" t="s">
        <v>568</v>
      </c>
      <c r="M5" s="97" t="s">
        <v>568</v>
      </c>
      <c r="N5" s="99" t="s">
        <v>568</v>
      </c>
      <c r="O5" s="97" t="s">
        <v>568</v>
      </c>
      <c r="P5" s="99" t="s">
        <v>568</v>
      </c>
      <c r="Q5" s="104" t="s">
        <v>568</v>
      </c>
      <c r="R5" s="104" t="s">
        <v>568</v>
      </c>
    </row>
    <row r="6" spans="1:18" s="9" customFormat="1" x14ac:dyDescent="0.25">
      <c r="A6" s="1"/>
      <c r="B6" s="98"/>
      <c r="C6" s="98"/>
      <c r="D6" s="99"/>
      <c r="E6" s="99"/>
      <c r="F6" s="104"/>
      <c r="G6" s="97"/>
      <c r="H6" s="96"/>
      <c r="I6" s="99"/>
      <c r="J6" s="99"/>
      <c r="K6" s="96"/>
      <c r="L6" s="104"/>
      <c r="M6" s="97"/>
      <c r="N6" s="99"/>
      <c r="O6" s="97"/>
      <c r="P6" s="99"/>
      <c r="Q6" s="104"/>
      <c r="R6" s="104"/>
    </row>
    <row r="7" spans="1:18" s="9" customFormat="1" x14ac:dyDescent="0.25">
      <c r="A7" s="1"/>
      <c r="B7" s="98"/>
      <c r="C7" s="98"/>
      <c r="D7" s="99"/>
      <c r="E7" s="99"/>
      <c r="F7" s="104"/>
      <c r="G7" s="97"/>
      <c r="H7" s="96"/>
      <c r="I7" s="99"/>
      <c r="J7" s="99"/>
      <c r="K7" s="96"/>
      <c r="L7" s="104"/>
      <c r="M7" s="97"/>
      <c r="N7" s="99"/>
      <c r="O7" s="97"/>
      <c r="P7" s="99"/>
      <c r="Q7" s="104"/>
      <c r="R7" s="104"/>
    </row>
    <row r="8" spans="1:18" s="9" customFormat="1" x14ac:dyDescent="0.25">
      <c r="A8" s="1"/>
      <c r="B8" s="98"/>
      <c r="C8" s="98"/>
      <c r="D8" s="99"/>
      <c r="E8" s="99"/>
      <c r="F8" s="104"/>
      <c r="G8" s="97"/>
      <c r="H8" s="96"/>
      <c r="I8" s="99"/>
      <c r="J8" s="99"/>
      <c r="K8" s="96"/>
      <c r="L8" s="104"/>
      <c r="M8" s="97"/>
      <c r="N8" s="99"/>
      <c r="O8" s="97"/>
      <c r="P8" s="99"/>
      <c r="Q8" s="104"/>
      <c r="R8" s="104"/>
    </row>
    <row r="9" spans="1:18" s="9" customFormat="1" x14ac:dyDescent="0.25">
      <c r="A9" s="1"/>
      <c r="B9" s="98"/>
      <c r="C9" s="98"/>
      <c r="D9" s="99"/>
      <c r="E9" s="99"/>
      <c r="F9" s="104"/>
      <c r="G9" s="97"/>
      <c r="H9" s="96"/>
      <c r="I9" s="99"/>
      <c r="J9" s="99"/>
      <c r="K9" s="96"/>
      <c r="L9" s="104"/>
      <c r="M9" s="97"/>
      <c r="N9" s="99"/>
      <c r="O9" s="97"/>
      <c r="P9" s="99"/>
      <c r="Q9" s="104"/>
      <c r="R9" s="104"/>
    </row>
    <row r="10" spans="1:18" s="9" customFormat="1" x14ac:dyDescent="0.25">
      <c r="A10" s="1"/>
      <c r="B10" s="98"/>
      <c r="C10" s="98"/>
      <c r="D10" s="99"/>
      <c r="E10" s="99"/>
      <c r="F10" s="104"/>
      <c r="G10" s="97"/>
      <c r="H10" s="96"/>
      <c r="I10" s="99"/>
      <c r="J10" s="99"/>
      <c r="K10" s="96"/>
      <c r="L10" s="104"/>
      <c r="M10" s="97"/>
      <c r="N10" s="99"/>
      <c r="O10" s="97"/>
      <c r="P10" s="99"/>
      <c r="Q10" s="104"/>
      <c r="R10" s="104"/>
    </row>
    <row r="11" spans="1:18" s="9" customFormat="1" x14ac:dyDescent="0.25">
      <c r="A11" s="1"/>
      <c r="B11" s="98"/>
      <c r="C11" s="98"/>
      <c r="D11" s="99"/>
      <c r="E11" s="99"/>
      <c r="F11" s="104"/>
      <c r="G11" s="97"/>
      <c r="H11" s="96"/>
      <c r="I11" s="99"/>
      <c r="J11" s="99"/>
      <c r="K11" s="96"/>
      <c r="L11" s="104"/>
      <c r="M11" s="97"/>
      <c r="N11" s="99"/>
      <c r="O11" s="97"/>
      <c r="P11" s="99"/>
      <c r="Q11" s="104"/>
      <c r="R11" s="104"/>
    </row>
    <row r="12" spans="1:18" s="9" customFormat="1" x14ac:dyDescent="0.25">
      <c r="A12" s="1"/>
      <c r="B12" s="98"/>
      <c r="C12" s="98"/>
      <c r="D12" s="99"/>
      <c r="E12" s="99"/>
      <c r="F12" s="104"/>
      <c r="G12" s="97"/>
      <c r="H12" s="96"/>
      <c r="I12" s="99"/>
      <c r="J12" s="99"/>
      <c r="K12" s="96"/>
      <c r="L12" s="104"/>
      <c r="M12" s="97"/>
      <c r="N12" s="99"/>
      <c r="O12" s="97"/>
      <c r="P12" s="99"/>
      <c r="Q12" s="104"/>
      <c r="R12" s="104"/>
    </row>
    <row r="13" spans="1:18" s="9" customFormat="1" x14ac:dyDescent="0.25">
      <c r="A13" s="1"/>
      <c r="B13" s="98"/>
      <c r="C13" s="98"/>
      <c r="D13" s="99"/>
      <c r="E13" s="99"/>
      <c r="F13" s="104"/>
      <c r="G13" s="97"/>
      <c r="H13" s="96"/>
      <c r="I13" s="99"/>
      <c r="J13" s="99"/>
      <c r="K13" s="96"/>
      <c r="L13" s="104"/>
      <c r="M13" s="97"/>
      <c r="N13" s="99"/>
      <c r="O13" s="97"/>
      <c r="P13" s="99"/>
      <c r="Q13" s="104"/>
      <c r="R13" s="104"/>
    </row>
    <row r="14" spans="1:18" s="9" customFormat="1" x14ac:dyDescent="0.25">
      <c r="A14" s="1"/>
      <c r="B14" s="98"/>
      <c r="C14" s="98"/>
      <c r="D14" s="99"/>
      <c r="E14" s="99"/>
      <c r="F14" s="104"/>
      <c r="G14" s="97"/>
      <c r="H14" s="96"/>
      <c r="I14" s="99"/>
      <c r="J14" s="99"/>
      <c r="K14" s="96"/>
      <c r="L14" s="104"/>
      <c r="M14" s="97"/>
      <c r="N14" s="99"/>
      <c r="O14" s="97"/>
      <c r="P14" s="99"/>
      <c r="Q14" s="104"/>
      <c r="R14" s="104"/>
    </row>
    <row r="15" spans="1:18" s="9" customFormat="1" x14ac:dyDescent="0.25">
      <c r="A15" s="1"/>
      <c r="B15" s="98"/>
      <c r="C15" s="98"/>
      <c r="D15" s="99"/>
      <c r="E15" s="99"/>
      <c r="F15" s="104"/>
      <c r="G15" s="97"/>
      <c r="H15" s="96"/>
      <c r="I15" s="99"/>
      <c r="J15" s="99"/>
      <c r="K15" s="96"/>
      <c r="L15" s="104"/>
      <c r="M15" s="97"/>
      <c r="N15" s="99"/>
      <c r="O15" s="97"/>
      <c r="P15" s="99"/>
      <c r="Q15" s="104"/>
      <c r="R15" s="104"/>
    </row>
    <row r="16" spans="1:18" s="9" customFormat="1" x14ac:dyDescent="0.25">
      <c r="A16" s="1"/>
      <c r="B16" s="98"/>
      <c r="C16" s="98"/>
      <c r="D16" s="99"/>
      <c r="E16" s="99"/>
      <c r="F16" s="104"/>
      <c r="G16" s="97"/>
      <c r="H16" s="96"/>
      <c r="I16" s="99"/>
      <c r="J16" s="99"/>
      <c r="K16" s="96"/>
      <c r="L16" s="104"/>
      <c r="M16" s="97"/>
      <c r="N16" s="99"/>
      <c r="O16" s="97"/>
      <c r="P16" s="99"/>
      <c r="Q16" s="104"/>
      <c r="R16" s="104"/>
    </row>
    <row r="17" spans="1:18" s="9" customFormat="1" x14ac:dyDescent="0.25">
      <c r="A17" s="1"/>
      <c r="B17" s="98"/>
      <c r="C17" s="98"/>
      <c r="D17" s="99"/>
      <c r="E17" s="99"/>
      <c r="F17" s="104"/>
      <c r="G17" s="97"/>
      <c r="H17" s="96"/>
      <c r="I17" s="99"/>
      <c r="J17" s="99"/>
      <c r="K17" s="96"/>
      <c r="L17" s="104"/>
      <c r="M17" s="97"/>
      <c r="N17" s="99"/>
      <c r="O17" s="97"/>
      <c r="P17" s="99"/>
      <c r="Q17" s="104"/>
      <c r="R17" s="104"/>
    </row>
    <row r="18" spans="1:18" s="9" customFormat="1" x14ac:dyDescent="0.25">
      <c r="A18" s="1"/>
      <c r="B18" s="98"/>
      <c r="C18" s="98"/>
      <c r="D18" s="99"/>
      <c r="E18" s="99"/>
      <c r="F18" s="104"/>
      <c r="G18" s="97"/>
      <c r="H18" s="96"/>
      <c r="I18" s="99"/>
      <c r="J18" s="99"/>
      <c r="K18" s="96"/>
      <c r="L18" s="104"/>
      <c r="M18" s="97"/>
      <c r="N18" s="99"/>
      <c r="O18" s="97"/>
      <c r="P18" s="99"/>
      <c r="Q18" s="104"/>
      <c r="R18" s="104"/>
    </row>
    <row r="19" spans="1:18" s="9" customFormat="1" x14ac:dyDescent="0.25">
      <c r="A19" s="1"/>
      <c r="B19" s="98"/>
      <c r="C19" s="98"/>
      <c r="D19" s="99"/>
      <c r="E19" s="99"/>
      <c r="F19" s="104"/>
      <c r="G19" s="97"/>
      <c r="H19" s="96"/>
      <c r="I19" s="99"/>
      <c r="J19" s="99"/>
      <c r="K19" s="96"/>
      <c r="L19" s="104"/>
      <c r="M19" s="97"/>
      <c r="N19" s="99"/>
      <c r="O19" s="97"/>
      <c r="P19" s="99"/>
      <c r="Q19" s="104"/>
      <c r="R19" s="104"/>
    </row>
    <row r="20" spans="1:18" s="9" customFormat="1" x14ac:dyDescent="0.25">
      <c r="A20" s="1"/>
      <c r="B20" s="98"/>
      <c r="C20" s="98"/>
      <c r="D20" s="99"/>
      <c r="E20" s="99"/>
      <c r="F20" s="104"/>
      <c r="G20" s="97"/>
      <c r="H20" s="96"/>
      <c r="I20" s="99"/>
      <c r="J20" s="99"/>
      <c r="K20" s="96"/>
      <c r="L20" s="104"/>
      <c r="M20" s="97"/>
      <c r="N20" s="99"/>
      <c r="O20" s="97"/>
      <c r="P20" s="99"/>
      <c r="Q20" s="104"/>
      <c r="R20" s="104"/>
    </row>
  </sheetData>
  <autoFilter ref="A1:R2" xr:uid="{AD5BD976-F12A-487A-A7B0-EE93A0B0FFEC}"/>
  <sortState xmlns:xlrd2="http://schemas.microsoft.com/office/spreadsheetml/2017/richdata2" ref="A1:R2">
    <sortCondition descending="1" ref="A1"/>
  </sortState>
  <phoneticPr fontId="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23"/>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7" max="7" width="21.7109375" style="4"/>
  </cols>
  <sheetData>
    <row r="1" spans="1:7" s="16" customFormat="1" ht="15" customHeight="1" x14ac:dyDescent="0.25">
      <c r="A1" s="10" t="s">
        <v>0</v>
      </c>
      <c r="B1" s="11" t="s">
        <v>1</v>
      </c>
      <c r="C1" s="11" t="s">
        <v>2</v>
      </c>
      <c r="D1" s="11" t="s">
        <v>562</v>
      </c>
      <c r="E1" s="11" t="s">
        <v>559</v>
      </c>
      <c r="F1" s="11" t="s">
        <v>3</v>
      </c>
      <c r="G1" s="12" t="s">
        <v>465</v>
      </c>
    </row>
    <row r="2" spans="1:7" ht="15" customHeight="1" x14ac:dyDescent="0.25">
      <c r="A2" s="1">
        <v>45016</v>
      </c>
      <c r="B2" s="98" t="s">
        <v>530</v>
      </c>
      <c r="C2" s="98" t="s">
        <v>578</v>
      </c>
      <c r="D2" s="99" t="s">
        <v>581</v>
      </c>
      <c r="E2" s="99" t="s">
        <v>568</v>
      </c>
      <c r="F2" s="99" t="s">
        <v>568</v>
      </c>
      <c r="G2" s="97" t="s">
        <v>568</v>
      </c>
    </row>
    <row r="3" spans="1:7" ht="15" customHeight="1" x14ac:dyDescent="0.25">
      <c r="A3" s="1">
        <v>45107</v>
      </c>
      <c r="B3" s="98" t="s">
        <v>530</v>
      </c>
      <c r="C3" s="98" t="s">
        <v>578</v>
      </c>
      <c r="D3" s="99" t="s">
        <v>581</v>
      </c>
      <c r="E3" s="99" t="s">
        <v>568</v>
      </c>
      <c r="F3" s="99" t="s">
        <v>568</v>
      </c>
      <c r="G3" s="97" t="s">
        <v>568</v>
      </c>
    </row>
    <row r="4" spans="1:7" ht="15" customHeight="1" x14ac:dyDescent="0.25">
      <c r="A4" s="1">
        <v>45199</v>
      </c>
      <c r="B4" s="98" t="s">
        <v>530</v>
      </c>
      <c r="C4" s="98" t="s">
        <v>578</v>
      </c>
      <c r="D4" s="99" t="s">
        <v>581</v>
      </c>
      <c r="E4" s="99" t="s">
        <v>568</v>
      </c>
      <c r="F4" s="99" t="s">
        <v>568</v>
      </c>
      <c r="G4" s="97" t="s">
        <v>568</v>
      </c>
    </row>
    <row r="5" spans="1:7" ht="15" customHeight="1" x14ac:dyDescent="0.25">
      <c r="A5" s="1">
        <v>45291</v>
      </c>
      <c r="B5" s="98" t="s">
        <v>530</v>
      </c>
      <c r="C5" s="98" t="s">
        <v>578</v>
      </c>
      <c r="D5" s="99" t="s">
        <v>581</v>
      </c>
      <c r="E5" s="99" t="s">
        <v>568</v>
      </c>
      <c r="F5" s="99" t="s">
        <v>568</v>
      </c>
      <c r="G5" s="97" t="s">
        <v>568</v>
      </c>
    </row>
    <row r="6" spans="1:7" ht="15" customHeight="1" x14ac:dyDescent="0.25">
      <c r="A6" s="1"/>
      <c r="B6" s="98"/>
      <c r="C6" s="98"/>
      <c r="D6" s="99"/>
      <c r="E6" s="99"/>
      <c r="F6" s="99"/>
      <c r="G6" s="97"/>
    </row>
    <row r="7" spans="1:7" ht="15" customHeight="1" x14ac:dyDescent="0.25">
      <c r="A7" s="1"/>
      <c r="B7" s="98"/>
      <c r="C7" s="98"/>
      <c r="D7" s="99"/>
      <c r="E7" s="99"/>
      <c r="F7" s="99"/>
      <c r="G7" s="97"/>
    </row>
    <row r="8" spans="1:7" ht="15" customHeight="1" x14ac:dyDescent="0.25">
      <c r="A8" s="1"/>
      <c r="B8" s="98"/>
      <c r="C8" s="98"/>
      <c r="D8" s="99"/>
      <c r="E8" s="99"/>
      <c r="F8" s="99"/>
      <c r="G8" s="97"/>
    </row>
    <row r="9" spans="1:7" ht="15" customHeight="1" x14ac:dyDescent="0.25">
      <c r="A9" s="1"/>
      <c r="B9" s="98"/>
      <c r="C9" s="98"/>
      <c r="D9" s="99"/>
      <c r="E9" s="99"/>
      <c r="F9" s="99"/>
      <c r="G9" s="97"/>
    </row>
    <row r="10" spans="1:7" ht="15" customHeight="1" x14ac:dyDescent="0.25">
      <c r="A10" s="1"/>
      <c r="B10" s="98"/>
      <c r="C10" s="98"/>
      <c r="D10" s="99"/>
      <c r="E10" s="99"/>
      <c r="F10" s="99"/>
      <c r="G10" s="97"/>
    </row>
    <row r="11" spans="1:7" ht="15" customHeight="1" x14ac:dyDescent="0.25">
      <c r="A11" s="1"/>
      <c r="B11" s="98"/>
      <c r="C11" s="98"/>
      <c r="D11" s="99"/>
      <c r="E11" s="99"/>
      <c r="F11" s="99"/>
      <c r="G11" s="97"/>
    </row>
    <row r="12" spans="1:7" ht="15" customHeight="1" x14ac:dyDescent="0.25">
      <c r="A12" s="1"/>
      <c r="B12" s="98"/>
      <c r="C12" s="98"/>
      <c r="D12" s="99"/>
      <c r="E12" s="99"/>
      <c r="F12" s="99"/>
      <c r="G12" s="97"/>
    </row>
    <row r="13" spans="1:7" ht="15" customHeight="1" x14ac:dyDescent="0.25">
      <c r="A13" s="1"/>
      <c r="B13" s="98"/>
      <c r="C13" s="98"/>
      <c r="D13" s="99"/>
      <c r="E13" s="99"/>
      <c r="F13" s="99"/>
      <c r="G13" s="97"/>
    </row>
    <row r="14" spans="1:7" ht="15" customHeight="1" x14ac:dyDescent="0.25">
      <c r="A14" s="1"/>
      <c r="B14" s="98"/>
      <c r="C14" s="98"/>
      <c r="D14" s="99"/>
      <c r="E14" s="99"/>
      <c r="F14" s="99"/>
      <c r="G14" s="97"/>
    </row>
    <row r="15" spans="1:7" ht="15" customHeight="1" x14ac:dyDescent="0.25">
      <c r="A15" s="1"/>
      <c r="B15" s="98"/>
      <c r="C15" s="98"/>
      <c r="D15" s="99"/>
      <c r="E15" s="99"/>
      <c r="F15" s="99"/>
      <c r="G15" s="97"/>
    </row>
    <row r="16" spans="1:7" ht="15" customHeight="1" x14ac:dyDescent="0.25">
      <c r="A16" s="1"/>
      <c r="B16" s="98"/>
      <c r="C16" s="98"/>
      <c r="D16" s="99"/>
      <c r="E16" s="99"/>
      <c r="F16" s="99"/>
      <c r="G16" s="97"/>
    </row>
    <row r="17" spans="1:7" ht="15" customHeight="1" x14ac:dyDescent="0.25">
      <c r="A17" s="1"/>
      <c r="B17" s="98"/>
      <c r="C17" s="98"/>
      <c r="D17" s="99"/>
      <c r="E17" s="99"/>
      <c r="F17" s="99"/>
      <c r="G17" s="97"/>
    </row>
    <row r="18" spans="1:7" ht="15" customHeight="1" x14ac:dyDescent="0.25">
      <c r="A18" s="1"/>
      <c r="B18" s="98"/>
      <c r="C18" s="98"/>
      <c r="D18" s="99"/>
      <c r="E18" s="99"/>
      <c r="F18" s="99"/>
      <c r="G18" s="97"/>
    </row>
    <row r="19" spans="1:7" ht="15" customHeight="1" x14ac:dyDescent="0.25">
      <c r="A19" s="1"/>
      <c r="B19" s="98"/>
      <c r="C19" s="98"/>
      <c r="D19" s="99"/>
      <c r="E19" s="99"/>
      <c r="F19" s="99"/>
      <c r="G19" s="97"/>
    </row>
    <row r="20" spans="1:7" ht="15" customHeight="1" x14ac:dyDescent="0.25">
      <c r="A20" s="1"/>
      <c r="B20" s="98"/>
      <c r="C20" s="98"/>
      <c r="D20" s="99"/>
      <c r="E20" s="99"/>
      <c r="F20" s="99"/>
      <c r="G20" s="97"/>
    </row>
    <row r="21" spans="1:7" ht="15" customHeight="1" x14ac:dyDescent="0.25">
      <c r="A21" s="1"/>
      <c r="B21" s="98"/>
      <c r="C21" s="98"/>
      <c r="D21" s="99"/>
      <c r="E21" s="99"/>
      <c r="F21" s="99"/>
      <c r="G21" s="97"/>
    </row>
    <row r="22" spans="1:7" ht="15" customHeight="1" x14ac:dyDescent="0.25">
      <c r="A22" s="1"/>
      <c r="B22" s="98"/>
      <c r="C22" s="98"/>
      <c r="D22" s="99"/>
      <c r="E22" s="99"/>
      <c r="F22" s="99"/>
      <c r="G22" s="97"/>
    </row>
    <row r="23" spans="1:7" ht="15" customHeight="1" x14ac:dyDescent="0.25">
      <c r="A23" s="1"/>
      <c r="B23" s="98"/>
      <c r="C23" s="98"/>
      <c r="D23" s="99"/>
      <c r="E23" s="99"/>
      <c r="F23" s="99"/>
      <c r="G23" s="97"/>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2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6" width="21.7109375" style="6"/>
    <col min="7" max="8" width="21.7109375" style="4"/>
    <col min="9" max="11" width="21.7109375" style="5"/>
  </cols>
  <sheetData>
    <row r="1" spans="1:11" s="16" customFormat="1" ht="15" customHeight="1" x14ac:dyDescent="0.25">
      <c r="A1" s="10" t="s">
        <v>0</v>
      </c>
      <c r="B1" s="11" t="s">
        <v>1</v>
      </c>
      <c r="C1" s="11" t="s">
        <v>2</v>
      </c>
      <c r="D1" s="11" t="s">
        <v>559</v>
      </c>
      <c r="E1" s="11" t="s">
        <v>3</v>
      </c>
      <c r="F1" s="14" t="s">
        <v>493</v>
      </c>
      <c r="G1" s="12" t="s">
        <v>497</v>
      </c>
      <c r="H1" s="12" t="s">
        <v>501</v>
      </c>
      <c r="I1" s="13" t="s">
        <v>503</v>
      </c>
      <c r="J1" s="13" t="s">
        <v>506</v>
      </c>
      <c r="K1" s="13" t="s">
        <v>509</v>
      </c>
    </row>
    <row r="2" spans="1:11" ht="15" customHeight="1" x14ac:dyDescent="0.25">
      <c r="A2" s="1">
        <v>45016</v>
      </c>
      <c r="B2" s="101" t="s">
        <v>530</v>
      </c>
      <c r="C2" s="101" t="s">
        <v>578</v>
      </c>
      <c r="D2" s="107" t="s">
        <v>582</v>
      </c>
      <c r="E2" s="101" t="s">
        <v>560</v>
      </c>
      <c r="F2" s="97">
        <v>2067655.3846153801</v>
      </c>
      <c r="G2" s="97">
        <v>2031518.3793846201</v>
      </c>
      <c r="H2" s="97">
        <v>2321537.2632307699</v>
      </c>
      <c r="I2" s="107" t="s">
        <v>595</v>
      </c>
      <c r="J2" s="107" t="s">
        <v>593</v>
      </c>
      <c r="K2" s="107" t="s">
        <v>568</v>
      </c>
    </row>
    <row r="3" spans="1:11" ht="15" customHeight="1" x14ac:dyDescent="0.25">
      <c r="A3" s="1">
        <v>45016</v>
      </c>
      <c r="B3" s="101" t="s">
        <v>530</v>
      </c>
      <c r="C3" s="101" t="s">
        <v>578</v>
      </c>
      <c r="D3" s="107" t="s">
        <v>582</v>
      </c>
      <c r="E3" s="101" t="s">
        <v>560</v>
      </c>
      <c r="F3" s="97">
        <v>2918123.0769230798</v>
      </c>
      <c r="G3" s="97">
        <v>2733504.8156923102</v>
      </c>
      <c r="H3" s="97">
        <v>5390805.8104615398</v>
      </c>
      <c r="I3" s="107" t="s">
        <v>596</v>
      </c>
      <c r="J3" s="107" t="s">
        <v>593</v>
      </c>
      <c r="K3" s="107" t="s">
        <v>568</v>
      </c>
    </row>
    <row r="4" spans="1:11" ht="15" customHeight="1" x14ac:dyDescent="0.25">
      <c r="A4" s="1">
        <v>45016</v>
      </c>
      <c r="B4" s="108" t="s">
        <v>530</v>
      </c>
      <c r="C4" s="101" t="s">
        <v>578</v>
      </c>
      <c r="D4" s="108" t="s">
        <v>582</v>
      </c>
      <c r="E4" s="108" t="s">
        <v>560</v>
      </c>
      <c r="F4" s="97">
        <v>8713397.3846153803</v>
      </c>
      <c r="G4" s="97">
        <v>262551567.07353801</v>
      </c>
      <c r="H4" s="97">
        <v>225771483.20784599</v>
      </c>
      <c r="I4" s="108" t="s">
        <v>583</v>
      </c>
      <c r="J4" s="108" t="s">
        <v>594</v>
      </c>
      <c r="K4" s="107" t="s">
        <v>568</v>
      </c>
    </row>
    <row r="5" spans="1:11" ht="15" customHeight="1" x14ac:dyDescent="0.25">
      <c r="A5" s="1">
        <v>45016</v>
      </c>
      <c r="B5" s="109" t="s">
        <v>530</v>
      </c>
      <c r="C5" s="101" t="s">
        <v>578</v>
      </c>
      <c r="D5" s="109" t="s">
        <v>582</v>
      </c>
      <c r="E5" s="109" t="s">
        <v>560</v>
      </c>
      <c r="F5" s="97">
        <v>102775.78125</v>
      </c>
      <c r="G5" s="97">
        <v>29433.098125</v>
      </c>
      <c r="H5" s="97">
        <v>54601.553230769197</v>
      </c>
      <c r="I5" s="109" t="s">
        <v>584</v>
      </c>
      <c r="J5" s="108" t="s">
        <v>594</v>
      </c>
      <c r="K5" s="109" t="s">
        <v>568</v>
      </c>
    </row>
    <row r="6" spans="1:11" ht="15" customHeight="1" x14ac:dyDescent="0.25">
      <c r="A6" s="1">
        <v>45016</v>
      </c>
      <c r="B6" s="109" t="s">
        <v>530</v>
      </c>
      <c r="C6" s="101" t="s">
        <v>578</v>
      </c>
      <c r="D6" s="109" t="s">
        <v>582</v>
      </c>
      <c r="E6" s="109" t="s">
        <v>560</v>
      </c>
      <c r="F6" s="97">
        <v>19.2</v>
      </c>
      <c r="G6" s="97">
        <v>304.596</v>
      </c>
      <c r="H6" s="97">
        <v>285.745</v>
      </c>
      <c r="I6" s="109" t="s">
        <v>597</v>
      </c>
      <c r="J6" s="108" t="s">
        <v>594</v>
      </c>
      <c r="K6" s="109" t="s">
        <v>568</v>
      </c>
    </row>
    <row r="7" spans="1:11" ht="15" customHeight="1" x14ac:dyDescent="0.25">
      <c r="A7" s="1">
        <v>45016</v>
      </c>
      <c r="B7" s="109" t="s">
        <v>530</v>
      </c>
      <c r="C7" s="101" t="s">
        <v>578</v>
      </c>
      <c r="D7" s="109" t="s">
        <v>582</v>
      </c>
      <c r="E7" s="109" t="s">
        <v>560</v>
      </c>
      <c r="F7" s="97">
        <v>66842.246153846194</v>
      </c>
      <c r="G7" s="97">
        <v>793021.39046153903</v>
      </c>
      <c r="H7" s="97">
        <v>1542398.53815385</v>
      </c>
      <c r="I7" s="107" t="s">
        <v>598</v>
      </c>
      <c r="J7" s="108" t="s">
        <v>594</v>
      </c>
      <c r="K7" s="109" t="s">
        <v>568</v>
      </c>
    </row>
    <row r="8" spans="1:11" ht="15" customHeight="1" x14ac:dyDescent="0.25">
      <c r="A8" s="1">
        <v>45107</v>
      </c>
      <c r="B8" s="109" t="s">
        <v>530</v>
      </c>
      <c r="C8" s="101" t="s">
        <v>578</v>
      </c>
      <c r="D8" s="109" t="s">
        <v>582</v>
      </c>
      <c r="E8" s="109" t="s">
        <v>560</v>
      </c>
      <c r="F8" s="97">
        <v>1535929.0322580601</v>
      </c>
      <c r="G8" s="97">
        <v>1500341.79709677</v>
      </c>
      <c r="H8" s="97">
        <v>1809568.8648387101</v>
      </c>
      <c r="I8" s="107" t="s">
        <v>595</v>
      </c>
      <c r="J8" s="107" t="s">
        <v>593</v>
      </c>
      <c r="K8" s="109" t="s">
        <v>568</v>
      </c>
    </row>
    <row r="9" spans="1:11" ht="15" customHeight="1" x14ac:dyDescent="0.25">
      <c r="A9" s="1">
        <v>45107</v>
      </c>
      <c r="B9" s="109" t="s">
        <v>530</v>
      </c>
      <c r="C9" s="101" t="s">
        <v>578</v>
      </c>
      <c r="D9" s="109" t="s">
        <v>582</v>
      </c>
      <c r="E9" s="109" t="s">
        <v>560</v>
      </c>
      <c r="F9" s="97">
        <v>2099225.8064516098</v>
      </c>
      <c r="G9" s="97">
        <v>1967510.11451613</v>
      </c>
      <c r="H9" s="97">
        <v>3867172.3806451601</v>
      </c>
      <c r="I9" s="107" t="s">
        <v>596</v>
      </c>
      <c r="J9" s="107" t="s">
        <v>593</v>
      </c>
      <c r="K9" s="109" t="s">
        <v>568</v>
      </c>
    </row>
    <row r="10" spans="1:11" ht="15" customHeight="1" x14ac:dyDescent="0.25">
      <c r="A10" s="1">
        <v>45107</v>
      </c>
      <c r="B10" s="109" t="s">
        <v>530</v>
      </c>
      <c r="C10" s="101" t="s">
        <v>578</v>
      </c>
      <c r="D10" s="109" t="s">
        <v>582</v>
      </c>
      <c r="E10" s="109" t="s">
        <v>560</v>
      </c>
      <c r="F10" s="97">
        <v>7176185.6451612897</v>
      </c>
      <c r="G10" s="97">
        <v>207883153.944516</v>
      </c>
      <c r="H10" s="97">
        <v>189107174.23338699</v>
      </c>
      <c r="I10" s="108" t="s">
        <v>583</v>
      </c>
      <c r="J10" s="108" t="s">
        <v>594</v>
      </c>
      <c r="K10" s="109" t="s">
        <v>568</v>
      </c>
    </row>
    <row r="11" spans="1:11" ht="15" customHeight="1" x14ac:dyDescent="0.25">
      <c r="A11" s="1">
        <v>45107</v>
      </c>
      <c r="B11" s="109" t="s">
        <v>530</v>
      </c>
      <c r="C11" s="101" t="s">
        <v>578</v>
      </c>
      <c r="D11" s="109" t="s">
        <v>582</v>
      </c>
      <c r="E11" s="109" t="s">
        <v>560</v>
      </c>
      <c r="F11" s="97">
        <v>48582.452830188697</v>
      </c>
      <c r="G11" s="97">
        <v>12931.991698113199</v>
      </c>
      <c r="H11" s="97">
        <v>23563.918666666701</v>
      </c>
      <c r="I11" s="109" t="s">
        <v>584</v>
      </c>
      <c r="J11" s="108" t="s">
        <v>594</v>
      </c>
      <c r="K11" s="109" t="s">
        <v>568</v>
      </c>
    </row>
    <row r="12" spans="1:11" ht="15" customHeight="1" x14ac:dyDescent="0.25">
      <c r="A12" s="1">
        <v>45107</v>
      </c>
      <c r="B12" s="109" t="s">
        <v>530</v>
      </c>
      <c r="C12" s="101" t="s">
        <v>578</v>
      </c>
      <c r="D12" s="109" t="s">
        <v>582</v>
      </c>
      <c r="E12" s="109" t="s">
        <v>560</v>
      </c>
      <c r="F12" s="97">
        <v>196</v>
      </c>
      <c r="G12" s="97">
        <v>1878.36</v>
      </c>
      <c r="H12" s="97">
        <v>1878.36</v>
      </c>
      <c r="I12" s="109" t="s">
        <v>597</v>
      </c>
      <c r="J12" s="108" t="s">
        <v>594</v>
      </c>
      <c r="K12" s="109" t="s">
        <v>568</v>
      </c>
    </row>
    <row r="13" spans="1:11" ht="15" customHeight="1" x14ac:dyDescent="0.25">
      <c r="A13" s="1">
        <v>45107</v>
      </c>
      <c r="B13" s="109" t="s">
        <v>530</v>
      </c>
      <c r="C13" s="101" t="s">
        <v>578</v>
      </c>
      <c r="D13" s="109" t="s">
        <v>582</v>
      </c>
      <c r="E13" s="109" t="s">
        <v>560</v>
      </c>
      <c r="F13" s="97">
        <v>47207.612903225803</v>
      </c>
      <c r="G13" s="97">
        <v>587861.24483870994</v>
      </c>
      <c r="H13" s="97">
        <v>1140317.3493548399</v>
      </c>
      <c r="I13" s="107" t="s">
        <v>598</v>
      </c>
      <c r="J13" s="108" t="s">
        <v>594</v>
      </c>
      <c r="K13" s="109" t="s">
        <v>568</v>
      </c>
    </row>
    <row r="14" spans="1:11" ht="15" customHeight="1" x14ac:dyDescent="0.25">
      <c r="A14" s="1">
        <v>45199</v>
      </c>
      <c r="B14" s="109" t="s">
        <v>530</v>
      </c>
      <c r="C14" s="101" t="s">
        <v>578</v>
      </c>
      <c r="D14" s="109" t="s">
        <v>582</v>
      </c>
      <c r="E14" s="109" t="s">
        <v>560</v>
      </c>
      <c r="F14" s="97">
        <v>1258778.4839999999</v>
      </c>
      <c r="G14" s="97">
        <v>1219400.30984615</v>
      </c>
      <c r="H14" s="97">
        <v>1659521.9784615401</v>
      </c>
      <c r="I14" s="107" t="s">
        <v>595</v>
      </c>
      <c r="J14" s="107" t="s">
        <v>593</v>
      </c>
      <c r="K14" s="109" t="s">
        <v>568</v>
      </c>
    </row>
    <row r="15" spans="1:11" ht="15" customHeight="1" x14ac:dyDescent="0.25">
      <c r="A15" s="1">
        <v>45199</v>
      </c>
      <c r="B15" s="109" t="s">
        <v>530</v>
      </c>
      <c r="C15" s="101" t="s">
        <v>578</v>
      </c>
      <c r="D15" s="109" t="s">
        <v>582</v>
      </c>
      <c r="E15" s="109" t="s">
        <v>560</v>
      </c>
      <c r="F15" s="97">
        <v>2093015.3846153801</v>
      </c>
      <c r="G15" s="97">
        <v>1946752.2132307701</v>
      </c>
      <c r="H15" s="97">
        <v>3844144.9064615401</v>
      </c>
      <c r="I15" s="107" t="s">
        <v>596</v>
      </c>
      <c r="J15" s="107" t="s">
        <v>593</v>
      </c>
      <c r="K15" s="109" t="s">
        <v>568</v>
      </c>
    </row>
    <row r="16" spans="1:11" ht="15" customHeight="1" x14ac:dyDescent="0.25">
      <c r="A16" s="1">
        <v>45199</v>
      </c>
      <c r="B16" s="109" t="s">
        <v>530</v>
      </c>
      <c r="C16" s="101" t="s">
        <v>578</v>
      </c>
      <c r="D16" s="109" t="s">
        <v>582</v>
      </c>
      <c r="E16" s="109" t="s">
        <v>560</v>
      </c>
      <c r="F16" s="97">
        <v>5838547.5692307698</v>
      </c>
      <c r="G16" s="97">
        <v>170962048.956</v>
      </c>
      <c r="H16" s="97">
        <v>164520372.172923</v>
      </c>
      <c r="I16" s="108" t="s">
        <v>583</v>
      </c>
      <c r="J16" s="108" t="s">
        <v>594</v>
      </c>
      <c r="K16" s="109" t="s">
        <v>568</v>
      </c>
    </row>
    <row r="17" spans="1:11" ht="15" customHeight="1" x14ac:dyDescent="0.25">
      <c r="A17" s="1">
        <v>45199</v>
      </c>
      <c r="B17" s="109" t="s">
        <v>530</v>
      </c>
      <c r="C17" s="101" t="s">
        <v>578</v>
      </c>
      <c r="D17" s="109" t="s">
        <v>582</v>
      </c>
      <c r="E17" s="109" t="s">
        <v>560</v>
      </c>
      <c r="F17" s="97">
        <v>47818.080000000002</v>
      </c>
      <c r="G17" s="97">
        <v>9728.3631999999998</v>
      </c>
      <c r="H17" s="97">
        <v>17021.419310344801</v>
      </c>
      <c r="I17" s="109" t="s">
        <v>584</v>
      </c>
      <c r="J17" s="108" t="s">
        <v>594</v>
      </c>
      <c r="K17" s="109" t="s">
        <v>568</v>
      </c>
    </row>
    <row r="18" spans="1:11" ht="15" customHeight="1" x14ac:dyDescent="0.25">
      <c r="A18" s="1">
        <v>45199</v>
      </c>
      <c r="B18" s="109" t="s">
        <v>530</v>
      </c>
      <c r="C18" s="101" t="s">
        <v>578</v>
      </c>
      <c r="D18" s="109" t="s">
        <v>582</v>
      </c>
      <c r="E18" s="109" t="s">
        <v>560</v>
      </c>
      <c r="F18" s="97">
        <v>210.333333333333</v>
      </c>
      <c r="G18" s="97">
        <v>3872</v>
      </c>
      <c r="H18" s="97">
        <v>4646.3999999999996</v>
      </c>
      <c r="I18" s="109" t="s">
        <v>597</v>
      </c>
      <c r="J18" s="108" t="s">
        <v>594</v>
      </c>
      <c r="K18" s="109" t="s">
        <v>568</v>
      </c>
    </row>
    <row r="19" spans="1:11" ht="15" customHeight="1" x14ac:dyDescent="0.25">
      <c r="A19" s="1">
        <v>45199</v>
      </c>
      <c r="B19" s="109" t="s">
        <v>530</v>
      </c>
      <c r="C19" s="101" t="s">
        <v>578</v>
      </c>
      <c r="D19" s="109" t="s">
        <v>582</v>
      </c>
      <c r="E19" s="109" t="s">
        <v>560</v>
      </c>
      <c r="F19" s="97">
        <v>51226.953846153803</v>
      </c>
      <c r="G19" s="97">
        <v>771952.70953846199</v>
      </c>
      <c r="H19" s="97">
        <v>1480935.02123077</v>
      </c>
      <c r="I19" s="107" t="s">
        <v>598</v>
      </c>
      <c r="J19" s="108" t="s">
        <v>594</v>
      </c>
      <c r="K19" s="109" t="s">
        <v>568</v>
      </c>
    </row>
    <row r="20" spans="1:11" ht="15" customHeight="1" x14ac:dyDescent="0.25">
      <c r="A20" s="1">
        <v>45291</v>
      </c>
      <c r="B20" s="109" t="s">
        <v>530</v>
      </c>
      <c r="C20" s="101" t="s">
        <v>578</v>
      </c>
      <c r="D20" s="109" t="s">
        <v>582</v>
      </c>
      <c r="E20" s="109" t="s">
        <v>560</v>
      </c>
      <c r="F20" s="97">
        <v>2423359.14967742</v>
      </c>
      <c r="G20" s="97">
        <v>2317521.4406451602</v>
      </c>
      <c r="H20" s="97">
        <v>2393636.5203225799</v>
      </c>
      <c r="I20" s="107" t="s">
        <v>595</v>
      </c>
      <c r="J20" s="107" t="s">
        <v>593</v>
      </c>
      <c r="K20" s="109" t="s">
        <v>568</v>
      </c>
    </row>
    <row r="21" spans="1:11" ht="15" customHeight="1" x14ac:dyDescent="0.25">
      <c r="A21" s="1">
        <v>45291</v>
      </c>
      <c r="B21" s="109" t="s">
        <v>530</v>
      </c>
      <c r="C21" s="101" t="s">
        <v>578</v>
      </c>
      <c r="D21" s="109" t="s">
        <v>582</v>
      </c>
      <c r="E21" s="109" t="s">
        <v>560</v>
      </c>
      <c r="F21" s="97">
        <v>2403870.9677419402</v>
      </c>
      <c r="G21" s="97">
        <v>2247837.86903226</v>
      </c>
      <c r="H21" s="97">
        <v>4326916.8587096799</v>
      </c>
      <c r="I21" s="107" t="s">
        <v>596</v>
      </c>
      <c r="J21" s="107" t="s">
        <v>593</v>
      </c>
      <c r="K21" s="109" t="s">
        <v>568</v>
      </c>
    </row>
    <row r="22" spans="1:11" ht="15" customHeight="1" x14ac:dyDescent="0.25">
      <c r="A22" s="1">
        <v>45291</v>
      </c>
      <c r="B22" s="109" t="s">
        <v>530</v>
      </c>
      <c r="C22" s="101" t="s">
        <v>578</v>
      </c>
      <c r="D22" s="109" t="s">
        <v>582</v>
      </c>
      <c r="E22" s="109" t="s">
        <v>560</v>
      </c>
      <c r="F22" s="97">
        <v>7553890.8709677402</v>
      </c>
      <c r="G22" s="97">
        <v>216395727.99871001</v>
      </c>
      <c r="H22" s="97">
        <v>206084463.39467701</v>
      </c>
      <c r="I22" s="108" t="s">
        <v>583</v>
      </c>
      <c r="J22" s="108" t="s">
        <v>594</v>
      </c>
      <c r="K22" s="109" t="s">
        <v>568</v>
      </c>
    </row>
    <row r="23" spans="1:11" ht="15" customHeight="1" x14ac:dyDescent="0.25">
      <c r="A23" s="1">
        <v>45291</v>
      </c>
      <c r="B23" s="109" t="s">
        <v>530</v>
      </c>
      <c r="C23" s="101" t="s">
        <v>578</v>
      </c>
      <c r="D23" s="109" t="s">
        <v>582</v>
      </c>
      <c r="E23" s="109" t="s">
        <v>560</v>
      </c>
      <c r="F23" s="97">
        <v>66045.192307692298</v>
      </c>
      <c r="G23" s="97">
        <v>14726.2092307692</v>
      </c>
      <c r="H23" s="97">
        <v>25354.446</v>
      </c>
      <c r="I23" s="109" t="s">
        <v>584</v>
      </c>
      <c r="J23" s="108" t="s">
        <v>594</v>
      </c>
      <c r="K23" s="109" t="s">
        <v>568</v>
      </c>
    </row>
    <row r="24" spans="1:11" ht="15" customHeight="1" x14ac:dyDescent="0.25">
      <c r="A24" s="1">
        <v>45291</v>
      </c>
      <c r="B24" s="109" t="s">
        <v>530</v>
      </c>
      <c r="C24" s="101" t="s">
        <v>578</v>
      </c>
      <c r="D24" s="109" t="s">
        <v>582</v>
      </c>
      <c r="E24" s="109" t="s">
        <v>560</v>
      </c>
      <c r="F24" s="97">
        <v>601.57142857142901</v>
      </c>
      <c r="G24" s="97">
        <v>9063.6928571428598</v>
      </c>
      <c r="H24" s="97">
        <v>9724.4846153846102</v>
      </c>
      <c r="I24" s="109" t="s">
        <v>597</v>
      </c>
      <c r="J24" s="108" t="s">
        <v>594</v>
      </c>
      <c r="K24" s="109" t="s">
        <v>568</v>
      </c>
    </row>
    <row r="25" spans="1:11" ht="15" customHeight="1" x14ac:dyDescent="0.25">
      <c r="A25" s="1">
        <v>45291</v>
      </c>
      <c r="B25" s="109" t="s">
        <v>530</v>
      </c>
      <c r="C25" s="101" t="s">
        <v>578</v>
      </c>
      <c r="D25" s="109" t="s">
        <v>582</v>
      </c>
      <c r="E25" s="109" t="s">
        <v>560</v>
      </c>
      <c r="F25" s="97">
        <v>56998</v>
      </c>
      <c r="G25" s="97">
        <v>701504.82612903195</v>
      </c>
      <c r="H25" s="97">
        <v>1357475.2683871</v>
      </c>
      <c r="I25" s="107" t="s">
        <v>598</v>
      </c>
      <c r="J25" s="108" t="s">
        <v>594</v>
      </c>
      <c r="K25" s="109" t="s">
        <v>568</v>
      </c>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5"/>
  <sheetViews>
    <sheetView zoomScale="90" zoomScaleNormal="90" workbookViewId="0">
      <pane ySplit="1" topLeftCell="A2" activePane="bottomLeft" state="frozen"/>
      <selection pane="bottomLeft"/>
    </sheetView>
  </sheetViews>
  <sheetFormatPr baseColWidth="10" defaultColWidth="21.7109375" defaultRowHeight="15" customHeight="1" x14ac:dyDescent="0.25"/>
  <cols>
    <col min="1" max="1" width="21.7109375" style="3"/>
    <col min="6" max="7" width="21.7109375" style="4"/>
  </cols>
  <sheetData>
    <row r="1" spans="1:7" s="16" customFormat="1" ht="15" customHeight="1" x14ac:dyDescent="0.25">
      <c r="A1" s="10" t="s">
        <v>0</v>
      </c>
      <c r="B1" s="11" t="s">
        <v>1</v>
      </c>
      <c r="C1" s="11" t="s">
        <v>2</v>
      </c>
      <c r="D1" s="11" t="s">
        <v>559</v>
      </c>
      <c r="E1" s="11" t="s">
        <v>3</v>
      </c>
      <c r="F1" s="12" t="s">
        <v>513</v>
      </c>
      <c r="G1" s="12" t="s">
        <v>517</v>
      </c>
    </row>
    <row r="2" spans="1:7" ht="15" customHeight="1" x14ac:dyDescent="0.25">
      <c r="A2" s="10">
        <v>45016</v>
      </c>
      <c r="B2" s="101" t="s">
        <v>530</v>
      </c>
      <c r="C2" s="101" t="s">
        <v>578</v>
      </c>
      <c r="D2" s="101" t="s">
        <v>585</v>
      </c>
      <c r="E2" s="101" t="s">
        <v>560</v>
      </c>
      <c r="F2" s="97">
        <v>13868813.073557686</v>
      </c>
      <c r="G2" s="97">
        <v>268139349.35320148</v>
      </c>
    </row>
    <row r="3" spans="1:7" ht="15" customHeight="1" x14ac:dyDescent="0.25">
      <c r="A3" s="10">
        <v>45107</v>
      </c>
      <c r="B3" s="101" t="s">
        <v>530</v>
      </c>
      <c r="C3" s="101" t="s">
        <v>578</v>
      </c>
      <c r="D3" s="101" t="s">
        <v>585</v>
      </c>
      <c r="E3" s="101" t="s">
        <v>560</v>
      </c>
      <c r="F3" s="97">
        <v>10907326.549604375</v>
      </c>
      <c r="G3" s="97">
        <v>211953677.45266575</v>
      </c>
    </row>
    <row r="4" spans="1:7" ht="15" customHeight="1" x14ac:dyDescent="0.25">
      <c r="A4" s="10">
        <v>45199</v>
      </c>
      <c r="B4" s="101" t="s">
        <v>530</v>
      </c>
      <c r="C4" s="101" t="s">
        <v>578</v>
      </c>
      <c r="D4" s="101" t="s">
        <v>585</v>
      </c>
      <c r="E4" s="101" t="s">
        <v>560</v>
      </c>
      <c r="F4" s="97">
        <v>9289596.8050256371</v>
      </c>
      <c r="G4" s="97">
        <v>174913754.55181539</v>
      </c>
    </row>
    <row r="5" spans="1:7" ht="15" customHeight="1" x14ac:dyDescent="0.25">
      <c r="A5" s="10">
        <v>45291</v>
      </c>
      <c r="B5" s="101" t="s">
        <v>530</v>
      </c>
      <c r="C5" s="101" t="s">
        <v>578</v>
      </c>
      <c r="D5" s="101" t="s">
        <v>585</v>
      </c>
      <c r="E5" s="101" t="s">
        <v>560</v>
      </c>
      <c r="F5" s="97">
        <v>12504765.752123363</v>
      </c>
      <c r="G5" s="97">
        <v>221686382.03660437</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Nießen Franziska</cp:lastModifiedBy>
  <cp:revision/>
  <dcterms:created xsi:type="dcterms:W3CDTF">2020-08-17T08:40:50Z</dcterms:created>
  <dcterms:modified xsi:type="dcterms:W3CDTF">2024-08-20T13:12:51Z</dcterms:modified>
  <cp:category/>
  <cp:contentStatus/>
</cp:coreProperties>
</file>